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95" firstSheet="6" activeTab="15"/>
  </bookViews>
  <sheets>
    <sheet name="для главы" sheetId="45" state="hidden" r:id="rId1"/>
    <sheet name="табл.к пояс.з." sheetId="29" state="hidden" r:id="rId2"/>
    <sheet name="безвозм.пост." sheetId="25" state="hidden" r:id="rId3"/>
    <sheet name="пер.ост." sheetId="46" state="hidden" r:id="rId4"/>
    <sheet name="план работы" sheetId="32" state="hidden" r:id="rId5"/>
    <sheet name="для программы" sheetId="35" state="hidden" r:id="rId6"/>
    <sheet name="Пр. 1" sheetId="2" r:id="rId7"/>
    <sheet name="Пр. 2" sheetId="1" r:id="rId8"/>
    <sheet name="Пр. 3" sheetId="4" r:id="rId9"/>
    <sheet name="гл.адм" sheetId="27" state="hidden" r:id="rId10"/>
    <sheet name="Пр. 4" sheetId="16" r:id="rId11"/>
    <sheet name="ит." sheetId="8" state="hidden" r:id="rId12"/>
    <sheet name="Пр. 5 " sheetId="30" r:id="rId13"/>
    <sheet name="Пр. 6" sheetId="31" r:id="rId14"/>
    <sheet name="Пр. 7" sheetId="17" r:id="rId15"/>
    <sheet name="Пр.8" sheetId="23" r:id="rId16"/>
    <sheet name="Пр. 9" sheetId="21" r:id="rId17"/>
    <sheet name="Пр. 10" sheetId="19" r:id="rId18"/>
    <sheet name="Пр. 11" sheetId="13" r:id="rId19"/>
    <sheet name="у.у" sheetId="38" r:id="rId20"/>
  </sheets>
  <definedNames>
    <definedName name="_xlnm.Print_Area" localSheetId="2">безвозм.пост.!$B$1:$E$67</definedName>
    <definedName name="_xlnm.Print_Area" localSheetId="0">'для главы'!$B$1:$E$36</definedName>
    <definedName name="_xlnm.Print_Area" localSheetId="5">'для программы'!$A$2:$G$68</definedName>
    <definedName name="_xlnm.Print_Area" localSheetId="4">'план работы'!$A$2:$H$67</definedName>
    <definedName name="_xlnm.Print_Area" localSheetId="10">'Пр. 4'!$A$1:$E$26</definedName>
    <definedName name="_xlnm.Print_Area" localSheetId="14">'Пр. 7'!$A$1:$G$91</definedName>
    <definedName name="_xlnm.Print_Area" localSheetId="15">Пр.8!$A$1:$H$75</definedName>
  </definedNames>
  <calcPr calcId="124519"/>
</workbook>
</file>

<file path=xl/calcChain.xml><?xml version="1.0" encoding="utf-8"?>
<calcChain xmlns="http://schemas.openxmlformats.org/spreadsheetml/2006/main">
  <c r="H37" i="32"/>
  <c r="H20"/>
  <c r="H63"/>
  <c r="H71" s="1"/>
  <c r="H64"/>
  <c r="G64"/>
  <c r="G63"/>
  <c r="G65"/>
  <c r="G31"/>
  <c r="G22" s="1"/>
  <c r="G20"/>
  <c r="G8" s="1"/>
  <c r="G53"/>
  <c r="G49"/>
  <c r="G48" s="1"/>
  <c r="G38"/>
  <c r="G37"/>
  <c r="G36"/>
  <c r="G23"/>
  <c r="G4" l="1"/>
  <c r="H31" l="1"/>
  <c r="C23" i="1"/>
  <c r="C62"/>
  <c r="D63"/>
  <c r="E63"/>
  <c r="C63"/>
  <c r="D64"/>
  <c r="E64"/>
  <c r="C64"/>
  <c r="F10" i="25"/>
  <c r="F9" l="1"/>
  <c r="F3"/>
  <c r="H53" i="32"/>
  <c r="H48" s="1"/>
  <c r="G72" i="17" s="1"/>
  <c r="G69" l="1"/>
  <c r="G19"/>
  <c r="G19" i="23" s="1"/>
  <c r="H8" i="32" l="1"/>
  <c r="C28" i="46"/>
  <c r="H20" i="23" l="1"/>
  <c r="G90" i="17"/>
  <c r="E38" i="32" l="1"/>
  <c r="E37"/>
  <c r="D55" i="1"/>
  <c r="E55"/>
  <c r="D56"/>
  <c r="E56"/>
  <c r="C55"/>
  <c r="C56"/>
  <c r="C8" i="25" l="1"/>
  <c r="K15"/>
  <c r="K16"/>
  <c r="K17"/>
  <c r="K18"/>
  <c r="K19" s="1"/>
  <c r="K14"/>
  <c r="G56" i="17"/>
  <c r="C71" i="1"/>
  <c r="C70" s="1"/>
  <c r="C69" s="1"/>
  <c r="E15" i="30" l="1"/>
  <c r="E16"/>
  <c r="H65" i="32"/>
  <c r="G71" i="17" s="1"/>
  <c r="E65" i="32"/>
  <c r="F37"/>
  <c r="F38"/>
  <c r="H38"/>
  <c r="E21" i="1"/>
  <c r="D21"/>
  <c r="C21"/>
  <c r="B8" i="46" l="1"/>
  <c r="B28" s="1"/>
  <c r="C85" i="1"/>
  <c r="E19"/>
  <c r="D19"/>
  <c r="C19"/>
  <c r="G61" i="17"/>
  <c r="E63" i="30" s="1"/>
  <c r="C22" i="25" l="1"/>
  <c r="G89" i="17" l="1"/>
  <c r="E67" i="30"/>
  <c r="E87" l="1"/>
  <c r="E86" s="1"/>
  <c r="B30" i="46"/>
  <c r="G73" i="17"/>
  <c r="E70" i="30" s="1"/>
  <c r="F53" i="32"/>
  <c r="F49"/>
  <c r="F48" s="1"/>
  <c r="F23"/>
  <c r="F22"/>
  <c r="F8"/>
  <c r="K6" i="25"/>
  <c r="K7" s="1"/>
  <c r="C88" i="1"/>
  <c r="C87" s="1"/>
  <c r="C86" s="1"/>
  <c r="E88"/>
  <c r="E87" s="1"/>
  <c r="E86" s="1"/>
  <c r="D88"/>
  <c r="D87" s="1"/>
  <c r="D86" s="1"/>
  <c r="C25" i="25"/>
  <c r="K46"/>
  <c r="K44"/>
  <c r="F5"/>
  <c r="F36" i="32" l="1"/>
  <c r="F4" s="1"/>
  <c r="C26" i="25"/>
  <c r="C27" s="1"/>
  <c r="K48"/>
  <c r="L46" s="1"/>
  <c r="K8"/>
  <c r="F46"/>
  <c r="H46" s="1"/>
  <c r="F44"/>
  <c r="H44" s="1"/>
  <c r="E3" i="45"/>
  <c r="D21"/>
  <c r="D17"/>
  <c r="D13"/>
  <c r="C5"/>
  <c r="D5" s="1"/>
  <c r="C18"/>
  <c r="C19" s="1"/>
  <c r="C14"/>
  <c r="C15" s="1"/>
  <c r="Q46" i="25" l="1"/>
  <c r="S46" s="1"/>
  <c r="N46"/>
  <c r="M46"/>
  <c r="L44"/>
  <c r="E26"/>
  <c r="D26"/>
  <c r="E18" i="45"/>
  <c r="E19" s="1"/>
  <c r="E14"/>
  <c r="E15" s="1"/>
  <c r="E6"/>
  <c r="E53" i="32"/>
  <c r="E49"/>
  <c r="E23"/>
  <c r="E22"/>
  <c r="E8"/>
  <c r="H37" i="23"/>
  <c r="G37"/>
  <c r="G43" i="17"/>
  <c r="G45"/>
  <c r="E8" i="25"/>
  <c r="H38" i="23"/>
  <c r="E48" i="32" l="1"/>
  <c r="E36"/>
  <c r="E4" s="1"/>
  <c r="P46" i="25"/>
  <c r="Q44"/>
  <c r="S44" s="1"/>
  <c r="N44"/>
  <c r="M44"/>
  <c r="L48"/>
  <c r="E7" i="45"/>
  <c r="AN5" i="29"/>
  <c r="AN3" s="1"/>
  <c r="G24" i="35"/>
  <c r="G54" i="17"/>
  <c r="G41"/>
  <c r="D8" i="25"/>
  <c r="AD20" i="29"/>
  <c r="AN23" s="1"/>
  <c r="AD18"/>
  <c r="AN22" s="1"/>
  <c r="AD16"/>
  <c r="AD14"/>
  <c r="AD12"/>
  <c r="AD10"/>
  <c r="AN18" s="1"/>
  <c r="AD8"/>
  <c r="AN17" s="1"/>
  <c r="AD6"/>
  <c r="AN16" s="1"/>
  <c r="K19"/>
  <c r="K17"/>
  <c r="K15"/>
  <c r="K13"/>
  <c r="K11"/>
  <c r="K9"/>
  <c r="K7"/>
  <c r="K4"/>
  <c r="P44" i="25" l="1"/>
  <c r="P48" s="1"/>
  <c r="E8" i="45"/>
  <c r="L18" i="29"/>
  <c r="AN21"/>
  <c r="AN20"/>
  <c r="AN19"/>
  <c r="AD4"/>
  <c r="L8"/>
  <c r="L12"/>
  <c r="L16"/>
  <c r="L20"/>
  <c r="L6"/>
  <c r="L10"/>
  <c r="L14"/>
  <c r="AE14" l="1"/>
  <c r="AE18"/>
  <c r="AE10"/>
  <c r="AE8"/>
  <c r="AE20"/>
  <c r="AE12"/>
  <c r="AE6"/>
  <c r="AE16"/>
  <c r="L4"/>
  <c r="K37"/>
  <c r="K35"/>
  <c r="K33"/>
  <c r="K30"/>
  <c r="AE4" l="1"/>
  <c r="K28"/>
  <c r="D78" i="1"/>
  <c r="C78"/>
  <c r="E78"/>
  <c r="C81"/>
  <c r="C17"/>
  <c r="D17"/>
  <c r="E17"/>
  <c r="H22" i="32"/>
  <c r="H23"/>
  <c r="E39" i="30"/>
  <c r="E38" s="1"/>
  <c r="E25" i="25" l="1"/>
  <c r="E27" s="1"/>
  <c r="L36" i="29"/>
  <c r="L38"/>
  <c r="L34"/>
  <c r="L32"/>
  <c r="L30"/>
  <c r="G55" i="17"/>
  <c r="E61" i="30" s="1"/>
  <c r="E60" s="1"/>
  <c r="G60" i="17"/>
  <c r="G51"/>
  <c r="G50" s="1"/>
  <c r="C30" i="21" s="1"/>
  <c r="G78" i="17" l="1"/>
  <c r="E55" i="30"/>
  <c r="E43" i="35"/>
  <c r="E42" s="1"/>
  <c r="L28" i="29"/>
  <c r="E37" i="30"/>
  <c r="E36" s="1"/>
  <c r="G29" i="17"/>
  <c r="G25" s="1"/>
  <c r="C24" i="21"/>
  <c r="E35" i="30" l="1"/>
  <c r="E46"/>
  <c r="E22"/>
  <c r="G40" i="17"/>
  <c r="E47" i="35"/>
  <c r="G47"/>
  <c r="G46" s="1"/>
  <c r="F47"/>
  <c r="F46" s="1"/>
  <c r="F51" i="31"/>
  <c r="F50" s="1"/>
  <c r="E51"/>
  <c r="E50" s="1"/>
  <c r="D46" i="35"/>
  <c r="D26"/>
  <c r="E59" i="30" l="1"/>
  <c r="E58" s="1"/>
  <c r="E34" i="35"/>
  <c r="E33" s="1"/>
  <c r="H33" s="1"/>
  <c r="E45" i="30"/>
  <c r="C26" i="21"/>
  <c r="E46" i="35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E27" i="35" l="1"/>
  <c r="D25" i="25"/>
  <c r="D27" s="1"/>
  <c r="C37"/>
  <c r="C38" s="1"/>
  <c r="C33"/>
  <c r="C34" s="1"/>
  <c r="B71" i="35"/>
  <c r="C71"/>
  <c r="J71"/>
  <c r="A71"/>
  <c r="B74"/>
  <c r="C74"/>
  <c r="J74"/>
  <c r="K74"/>
  <c r="B75"/>
  <c r="C75"/>
  <c r="J75"/>
  <c r="K75"/>
  <c r="B76"/>
  <c r="C76"/>
  <c r="J76"/>
  <c r="K76"/>
  <c r="B77"/>
  <c r="C77"/>
  <c r="J77"/>
  <c r="K77"/>
  <c r="A77"/>
  <c r="A76"/>
  <c r="A75"/>
  <c r="A74"/>
  <c r="H46" i="23"/>
  <c r="G46"/>
  <c r="C17" i="21"/>
  <c r="H22" i="23"/>
  <c r="G22"/>
  <c r="F20" i="35" s="1"/>
  <c r="F19" s="1"/>
  <c r="C15" i="1"/>
  <c r="C14" s="1"/>
  <c r="D36" i="35"/>
  <c r="F43" i="31"/>
  <c r="E43"/>
  <c r="G20" i="35"/>
  <c r="G19" s="1"/>
  <c r="E20"/>
  <c r="E26" l="1"/>
  <c r="H27"/>
  <c r="G43"/>
  <c r="F43"/>
  <c r="F39"/>
  <c r="G39"/>
  <c r="AO3" i="29"/>
  <c r="AB20" l="1"/>
  <c r="AB18"/>
  <c r="AD19" s="1"/>
  <c r="AB16"/>
  <c r="AD17" s="1"/>
  <c r="AB14"/>
  <c r="AD15" s="1"/>
  <c r="AB12"/>
  <c r="AD13" s="1"/>
  <c r="AB10"/>
  <c r="AD11" s="1"/>
  <c r="AB8"/>
  <c r="AD9" s="1"/>
  <c r="AB6"/>
  <c r="AD7" s="1"/>
  <c r="I37"/>
  <c r="I35"/>
  <c r="I33"/>
  <c r="I30"/>
  <c r="I19"/>
  <c r="I17"/>
  <c r="I15"/>
  <c r="I13"/>
  <c r="I11"/>
  <c r="I9"/>
  <c r="I7"/>
  <c r="I4"/>
  <c r="K5" s="1"/>
  <c r="G38" i="23"/>
  <c r="J20" i="29" l="1"/>
  <c r="K31"/>
  <c r="G88" i="17"/>
  <c r="I28" i="29"/>
  <c r="J14"/>
  <c r="J6"/>
  <c r="AB4"/>
  <c r="J10"/>
  <c r="J18"/>
  <c r="J8"/>
  <c r="J12"/>
  <c r="J16"/>
  <c r="G75" i="17"/>
  <c r="G44"/>
  <c r="E51" i="30" s="1"/>
  <c r="H30" i="23"/>
  <c r="H31"/>
  <c r="G31"/>
  <c r="G30"/>
  <c r="G33" i="17"/>
  <c r="G32"/>
  <c r="E85" i="30"/>
  <c r="E84" s="1"/>
  <c r="E72" l="1"/>
  <c r="K29" i="29"/>
  <c r="AD5"/>
  <c r="E39" i="35"/>
  <c r="AC10" i="29"/>
  <c r="G31" i="17"/>
  <c r="J30" i="29"/>
  <c r="AC16"/>
  <c r="AC14"/>
  <c r="AC18"/>
  <c r="AC8"/>
  <c r="AC20"/>
  <c r="AC12"/>
  <c r="AC6"/>
  <c r="J4"/>
  <c r="J36"/>
  <c r="J32"/>
  <c r="J38"/>
  <c r="J34"/>
  <c r="AC4" l="1"/>
  <c r="J28"/>
  <c r="C10" i="25"/>
  <c r="D66" i="35"/>
  <c r="D64"/>
  <c r="D59"/>
  <c r="D57"/>
  <c r="D55"/>
  <c r="D49"/>
  <c r="D44"/>
  <c r="D42"/>
  <c r="D40"/>
  <c r="D31"/>
  <c r="D29"/>
  <c r="D23"/>
  <c r="D21"/>
  <c r="D19"/>
  <c r="D16"/>
  <c r="D13"/>
  <c r="D8"/>
  <c r="G7" i="29"/>
  <c r="H70" i="23"/>
  <c r="F71" i="31" s="1"/>
  <c r="G70" i="23"/>
  <c r="E71" i="31" s="1"/>
  <c r="G84" i="17"/>
  <c r="G83" s="1"/>
  <c r="E67" i="35"/>
  <c r="E66" s="1"/>
  <c r="F42" i="31"/>
  <c r="E42"/>
  <c r="D35" i="35" l="1"/>
  <c r="D76" s="1"/>
  <c r="G38"/>
  <c r="F38"/>
  <c r="F70" i="31"/>
  <c r="E70"/>
  <c r="D7" i="35"/>
  <c r="D74" s="1"/>
  <c r="E50" i="30"/>
  <c r="C11" i="25"/>
  <c r="D28" i="35"/>
  <c r="D75" s="1"/>
  <c r="D48"/>
  <c r="D77" s="1"/>
  <c r="H69" i="23"/>
  <c r="G69"/>
  <c r="G67" i="35"/>
  <c r="G66" s="1"/>
  <c r="F67"/>
  <c r="F66" s="1"/>
  <c r="E30" i="31"/>
  <c r="G59" i="17"/>
  <c r="E81" i="1"/>
  <c r="D81"/>
  <c r="E85"/>
  <c r="D85"/>
  <c r="AO8" i="29"/>
  <c r="AO24"/>
  <c r="AP23"/>
  <c r="AP17"/>
  <c r="AP5"/>
  <c r="AP6"/>
  <c r="AP7"/>
  <c r="AP10"/>
  <c r="AP11"/>
  <c r="AP12"/>
  <c r="AN8"/>
  <c r="AN13" s="1"/>
  <c r="E38" i="35" l="1"/>
  <c r="H38" s="1"/>
  <c r="AP8" i="29"/>
  <c r="AP3"/>
  <c r="D6" i="35"/>
  <c r="H66"/>
  <c r="AO13" i="29"/>
  <c r="D71" i="35" l="1"/>
  <c r="AP13" i="29"/>
  <c r="AO25"/>
  <c r="AO26" s="1"/>
  <c r="E30"/>
  <c r="Z20" l="1"/>
  <c r="Z18"/>
  <c r="Z16"/>
  <c r="Z14"/>
  <c r="Z12"/>
  <c r="Z10"/>
  <c r="Z8"/>
  <c r="AB9" s="1"/>
  <c r="Z6"/>
  <c r="X8"/>
  <c r="G39"/>
  <c r="G37"/>
  <c r="G35"/>
  <c r="G33"/>
  <c r="G30"/>
  <c r="G19"/>
  <c r="G17"/>
  <c r="G15"/>
  <c r="G13"/>
  <c r="G11"/>
  <c r="G9"/>
  <c r="G4"/>
  <c r="H18" s="1"/>
  <c r="AB17" l="1"/>
  <c r="AP21"/>
  <c r="I31"/>
  <c r="G28"/>
  <c r="AB19"/>
  <c r="AP22"/>
  <c r="AB15"/>
  <c r="AP20"/>
  <c r="AB13"/>
  <c r="AP19"/>
  <c r="AB11"/>
  <c r="AP18"/>
  <c r="I5"/>
  <c r="AB7"/>
  <c r="Z9"/>
  <c r="H8"/>
  <c r="Z4"/>
  <c r="H12"/>
  <c r="H16"/>
  <c r="H20"/>
  <c r="H6"/>
  <c r="H10"/>
  <c r="H14"/>
  <c r="H49" i="32"/>
  <c r="H36" l="1"/>
  <c r="AB5" i="29"/>
  <c r="I29"/>
  <c r="AP16"/>
  <c r="AN24"/>
  <c r="AA16"/>
  <c r="AA14"/>
  <c r="AA10"/>
  <c r="AA6"/>
  <c r="AA8"/>
  <c r="AA20"/>
  <c r="AA18"/>
  <c r="AA12"/>
  <c r="H38"/>
  <c r="H34"/>
  <c r="H36"/>
  <c r="H32"/>
  <c r="H30"/>
  <c r="H4"/>
  <c r="A12" i="4"/>
  <c r="E24" i="1"/>
  <c r="E23" s="1"/>
  <c r="D24"/>
  <c r="D23" s="1"/>
  <c r="C24"/>
  <c r="G58" i="17"/>
  <c r="G57" s="1"/>
  <c r="G36"/>
  <c r="G68" l="1"/>
  <c r="F53" i="35"/>
  <c r="E62" i="30"/>
  <c r="H4" i="32"/>
  <c r="AP24" i="29"/>
  <c r="AN25"/>
  <c r="AN26" s="1"/>
  <c r="AA4"/>
  <c r="H28"/>
  <c r="B13" i="4"/>
  <c r="H68" i="23"/>
  <c r="G68"/>
  <c r="G42" i="35"/>
  <c r="F42"/>
  <c r="E69" i="30" l="1"/>
  <c r="E53" i="35"/>
  <c r="H56" i="23"/>
  <c r="E57" i="31"/>
  <c r="G67" i="23"/>
  <c r="H42" i="35"/>
  <c r="E54" i="30"/>
  <c r="G53" i="35" l="1"/>
  <c r="H53" s="1"/>
  <c r="H39" i="23" l="1"/>
  <c r="G39"/>
  <c r="F24" i="35"/>
  <c r="H44" i="23"/>
  <c r="H43" s="1"/>
  <c r="G44"/>
  <c r="G43" s="1"/>
  <c r="D31" i="21" l="1"/>
  <c r="E31"/>
  <c r="G45" i="35"/>
  <c r="G44" s="1"/>
  <c r="F45"/>
  <c r="F44" s="1"/>
  <c r="G25"/>
  <c r="G23" s="1"/>
  <c r="H36" i="23"/>
  <c r="H35" s="1"/>
  <c r="F25" i="35"/>
  <c r="F23" s="1"/>
  <c r="G36" i="23"/>
  <c r="G35" s="1"/>
  <c r="F11" i="35"/>
  <c r="G11"/>
  <c r="G54"/>
  <c r="G52"/>
  <c r="F54"/>
  <c r="F52"/>
  <c r="F50"/>
  <c r="G41"/>
  <c r="G40" s="1"/>
  <c r="F41"/>
  <c r="F40" s="1"/>
  <c r="G37"/>
  <c r="G36" s="1"/>
  <c r="F37"/>
  <c r="F36" s="1"/>
  <c r="G32"/>
  <c r="G31" s="1"/>
  <c r="F32"/>
  <c r="F31" s="1"/>
  <c r="G30"/>
  <c r="G29" s="1"/>
  <c r="F30"/>
  <c r="F29" s="1"/>
  <c r="G22"/>
  <c r="G21" s="1"/>
  <c r="F22"/>
  <c r="F21" s="1"/>
  <c r="G17"/>
  <c r="G18"/>
  <c r="F18"/>
  <c r="F17"/>
  <c r="G14"/>
  <c r="G15"/>
  <c r="F15"/>
  <c r="F14"/>
  <c r="G9"/>
  <c r="G10"/>
  <c r="G12"/>
  <c r="F12"/>
  <c r="F10"/>
  <c r="F9"/>
  <c r="E56"/>
  <c r="E55" s="1"/>
  <c r="E51"/>
  <c r="E52"/>
  <c r="E54"/>
  <c r="E50"/>
  <c r="E32"/>
  <c r="E31" s="1"/>
  <c r="E22"/>
  <c r="E21" s="1"/>
  <c r="E19"/>
  <c r="E18"/>
  <c r="E17"/>
  <c r="E15"/>
  <c r="E14"/>
  <c r="E12"/>
  <c r="E11"/>
  <c r="E10"/>
  <c r="E9"/>
  <c r="H65" i="23"/>
  <c r="G65"/>
  <c r="D36" i="25"/>
  <c r="D22" s="1"/>
  <c r="H22" s="1"/>
  <c r="E36"/>
  <c r="E22" s="1"/>
  <c r="F22" l="1"/>
  <c r="E49" i="35"/>
  <c r="F28"/>
  <c r="F75" s="1"/>
  <c r="F35"/>
  <c r="F76" s="1"/>
  <c r="G28"/>
  <c r="G75" s="1"/>
  <c r="G35"/>
  <c r="G76" s="1"/>
  <c r="G62"/>
  <c r="G66" i="23"/>
  <c r="H66"/>
  <c r="F16" i="35"/>
  <c r="E16"/>
  <c r="G16"/>
  <c r="G8"/>
  <c r="F8"/>
  <c r="F13"/>
  <c r="E13"/>
  <c r="G13"/>
  <c r="E8"/>
  <c r="F62"/>
  <c r="X20" i="29"/>
  <c r="X21" s="1"/>
  <c r="X18"/>
  <c r="Z19" s="1"/>
  <c r="X16"/>
  <c r="Z17" s="1"/>
  <c r="X14"/>
  <c r="Z15" s="1"/>
  <c r="X12"/>
  <c r="Z13" s="1"/>
  <c r="X10"/>
  <c r="Z11" s="1"/>
  <c r="X6"/>
  <c r="Z7" s="1"/>
  <c r="V21"/>
  <c r="V19"/>
  <c r="V17"/>
  <c r="V15"/>
  <c r="V13"/>
  <c r="V11"/>
  <c r="X9"/>
  <c r="V9"/>
  <c r="V7"/>
  <c r="V4"/>
  <c r="W20" s="1"/>
  <c r="U4"/>
  <c r="C13" i="4"/>
  <c r="D13"/>
  <c r="D93" i="1"/>
  <c r="E93"/>
  <c r="C93"/>
  <c r="F63" i="35" l="1"/>
  <c r="G63"/>
  <c r="G7"/>
  <c r="F7"/>
  <c r="W6" i="29"/>
  <c r="W10"/>
  <c r="W14"/>
  <c r="X13"/>
  <c r="W18"/>
  <c r="X19"/>
  <c r="X17"/>
  <c r="X15"/>
  <c r="X11"/>
  <c r="X7"/>
  <c r="V5"/>
  <c r="W8"/>
  <c r="W12"/>
  <c r="W16"/>
  <c r="W48"/>
  <c r="H21" i="23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40" i="1"/>
  <c r="C39" s="1"/>
  <c r="C38" s="1"/>
  <c r="D40"/>
  <c r="D39" s="1"/>
  <c r="D38" s="1"/>
  <c r="E40"/>
  <c r="E39" s="1"/>
  <c r="E38" s="1"/>
  <c r="G74" i="35" l="1"/>
  <c r="F74"/>
  <c r="G42" i="17"/>
  <c r="G39" s="1"/>
  <c r="F14" i="31"/>
  <c r="F29"/>
  <c r="F53"/>
  <c r="W4" i="29"/>
  <c r="G50" i="35"/>
  <c r="G51"/>
  <c r="E37"/>
  <c r="E36" s="1"/>
  <c r="E58"/>
  <c r="E57" s="1"/>
  <c r="E30"/>
  <c r="E29" s="1"/>
  <c r="E41"/>
  <c r="E40" s="1"/>
  <c r="F56"/>
  <c r="F55" s="1"/>
  <c r="E24"/>
  <c r="E25"/>
  <c r="F35" i="31"/>
  <c r="F25"/>
  <c r="F22"/>
  <c r="E37"/>
  <c r="F44"/>
  <c r="F39" s="1"/>
  <c r="F37"/>
  <c r="F27"/>
  <c r="F19"/>
  <c r="C35" i="1"/>
  <c r="C34" s="1"/>
  <c r="E39" i="29"/>
  <c r="E37"/>
  <c r="E35"/>
  <c r="E33"/>
  <c r="G31"/>
  <c r="E28" i="35" l="1"/>
  <c r="E75" s="1"/>
  <c r="A5" i="38"/>
  <c r="A11" s="1"/>
  <c r="F34" i="31"/>
  <c r="E23" i="35"/>
  <c r="H29"/>
  <c r="F60" i="31"/>
  <c r="F59" s="1"/>
  <c r="G56" i="35"/>
  <c r="G55" s="1"/>
  <c r="F58"/>
  <c r="F57" s="1"/>
  <c r="H31"/>
  <c r="H30"/>
  <c r="F13" i="31"/>
  <c r="E28" i="29"/>
  <c r="E7" i="35" l="1"/>
  <c r="E74" s="1"/>
  <c r="B5" i="38"/>
  <c r="B11" s="1"/>
  <c r="G29" i="29"/>
  <c r="F36"/>
  <c r="G58" i="35"/>
  <c r="G57" s="1"/>
  <c r="F62" i="31"/>
  <c r="F61" s="1"/>
  <c r="F38" i="29"/>
  <c r="F34"/>
  <c r="F32"/>
  <c r="F30"/>
  <c r="F28" l="1"/>
  <c r="E21"/>
  <c r="E19"/>
  <c r="E17"/>
  <c r="E15"/>
  <c r="E13"/>
  <c r="E11"/>
  <c r="E9"/>
  <c r="E7"/>
  <c r="E4"/>
  <c r="C4"/>
  <c r="F20" l="1"/>
  <c r="X4"/>
  <c r="Z5" s="1"/>
  <c r="G5"/>
  <c r="E5"/>
  <c r="F6"/>
  <c r="F8"/>
  <c r="F10"/>
  <c r="F12"/>
  <c r="F14"/>
  <c r="F16"/>
  <c r="F18"/>
  <c r="G23" i="17"/>
  <c r="C18" i="21" s="1"/>
  <c r="G23" i="23"/>
  <c r="D18" i="21" s="1"/>
  <c r="H23" i="23"/>
  <c r="E18" i="21" s="1"/>
  <c r="E62" i="31"/>
  <c r="E60"/>
  <c r="E55"/>
  <c r="E56"/>
  <c r="H50" i="35" s="1"/>
  <c r="E54" i="31"/>
  <c r="E45"/>
  <c r="E41"/>
  <c r="E40" s="1"/>
  <c r="E36"/>
  <c r="E31"/>
  <c r="E29" s="1"/>
  <c r="E28"/>
  <c r="E24"/>
  <c r="H18" i="35" s="1"/>
  <c r="E23" i="31"/>
  <c r="H17" i="35" s="1"/>
  <c r="E21" i="31"/>
  <c r="H15" i="35" s="1"/>
  <c r="E20" i="31"/>
  <c r="H14" i="35" s="1"/>
  <c r="E18" i="31"/>
  <c r="H12" i="35" s="1"/>
  <c r="E17" i="31"/>
  <c r="H11" i="35" s="1"/>
  <c r="E16" i="31"/>
  <c r="H10" i="35" s="1"/>
  <c r="E15" i="31"/>
  <c r="H9" i="35" s="1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H41" i="35"/>
  <c r="E53" i="31"/>
  <c r="E27" i="21"/>
  <c r="D27"/>
  <c r="Y18" i="29"/>
  <c r="Y16"/>
  <c r="Y12"/>
  <c r="Y8"/>
  <c r="X5"/>
  <c r="Y6"/>
  <c r="Y14"/>
  <c r="Y10"/>
  <c r="Y20"/>
  <c r="F51" i="35"/>
  <c r="E14" i="30"/>
  <c r="G65" i="35"/>
  <c r="G64" s="1"/>
  <c r="E25" i="31"/>
  <c r="H22" i="35"/>
  <c r="E35" i="31"/>
  <c r="E34" s="1"/>
  <c r="E44"/>
  <c r="H32" i="35" s="1"/>
  <c r="H36"/>
  <c r="E27" i="31"/>
  <c r="H20" i="35" s="1"/>
  <c r="H21"/>
  <c r="E59" i="31"/>
  <c r="H52" i="35"/>
  <c r="H67" i="23"/>
  <c r="F69" i="31"/>
  <c r="E61"/>
  <c r="H54" i="35" s="1"/>
  <c r="H55"/>
  <c r="E14" i="31"/>
  <c r="E19"/>
  <c r="H13" i="35" s="1"/>
  <c r="E22" i="31"/>
  <c r="E32" i="21"/>
  <c r="E29" s="1"/>
  <c r="F4" i="29"/>
  <c r="E25" i="21"/>
  <c r="Q12" i="29" s="1"/>
  <c r="D25" i="21"/>
  <c r="O12" i="29" s="1"/>
  <c r="G21" i="23"/>
  <c r="G13" s="1"/>
  <c r="C27" i="21"/>
  <c r="E39" i="31" l="1"/>
  <c r="E13"/>
  <c r="AJ12" i="29"/>
  <c r="Q13"/>
  <c r="AH12"/>
  <c r="H12" i="23"/>
  <c r="G12"/>
  <c r="H23" i="35"/>
  <c r="Y4" i="29"/>
  <c r="H51" i="35"/>
  <c r="F49"/>
  <c r="H24"/>
  <c r="H40"/>
  <c r="H25"/>
  <c r="F68" i="31"/>
  <c r="H8" i="35"/>
  <c r="G53" i="17"/>
  <c r="G52" s="1"/>
  <c r="C25" i="21"/>
  <c r="G49" i="17" l="1"/>
  <c r="H7" i="35"/>
  <c r="H19"/>
  <c r="H16"/>
  <c r="E45"/>
  <c r="E44" s="1"/>
  <c r="E57" i="30"/>
  <c r="E56" s="1"/>
  <c r="E47" s="1"/>
  <c r="G49" i="35"/>
  <c r="M12" i="29"/>
  <c r="M13" s="1"/>
  <c r="E35" i="35" l="1"/>
  <c r="E76" s="1"/>
  <c r="O13" i="29"/>
  <c r="H74" i="35"/>
  <c r="C31" i="21"/>
  <c r="AF12" i="29"/>
  <c r="AF13" s="1"/>
  <c r="H44" i="35"/>
  <c r="G82" i="17"/>
  <c r="H35" i="35" l="1"/>
  <c r="H76" s="1"/>
  <c r="G81" i="17"/>
  <c r="E65" i="35"/>
  <c r="H57"/>
  <c r="E83" i="30"/>
  <c r="E82" s="1"/>
  <c r="G79" i="17"/>
  <c r="G80"/>
  <c r="C97" i="1"/>
  <c r="D100"/>
  <c r="D99" s="1"/>
  <c r="D98" s="1"/>
  <c r="E100"/>
  <c r="E99" s="1"/>
  <c r="E98" s="1"/>
  <c r="C100"/>
  <c r="C99" s="1"/>
  <c r="C98" s="1"/>
  <c r="E63" i="35" l="1"/>
  <c r="E69" i="31"/>
  <c r="E68" s="1"/>
  <c r="F65" i="35"/>
  <c r="F64" s="1"/>
  <c r="E64"/>
  <c r="E62"/>
  <c r="H62" s="1"/>
  <c r="E66" i="31"/>
  <c r="E81" i="30"/>
  <c r="E80"/>
  <c r="C67" i="1"/>
  <c r="C66" s="1"/>
  <c r="H64" i="35" l="1"/>
  <c r="H65"/>
  <c r="E67" i="31"/>
  <c r="D80" i="1"/>
  <c r="D79" s="1"/>
  <c r="E80"/>
  <c r="E79" s="1"/>
  <c r="C80"/>
  <c r="C79" s="1"/>
  <c r="H56" i="35" l="1"/>
  <c r="G35" i="17"/>
  <c r="G34" s="1"/>
  <c r="E17" i="21"/>
  <c r="G17" i="17"/>
  <c r="C23" i="21" l="1"/>
  <c r="C22" s="1"/>
  <c r="B14" i="4"/>
  <c r="E26" i="30"/>
  <c r="E13" s="1"/>
  <c r="D17" i="21"/>
  <c r="H28" i="35" l="1"/>
  <c r="H63"/>
  <c r="H37"/>
  <c r="H75" l="1"/>
  <c r="H49" l="1"/>
  <c r="E33" i="2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B30" i="29"/>
  <c r="B28" s="1"/>
  <c r="C30"/>
  <c r="D37" i="1" l="1"/>
  <c r="D42"/>
  <c r="E37"/>
  <c r="E42"/>
  <c r="E58"/>
  <c r="E59"/>
  <c r="D58"/>
  <c r="D59"/>
  <c r="C58"/>
  <c r="C59"/>
  <c r="C37"/>
  <c r="D52"/>
  <c r="D51" s="1"/>
  <c r="C52"/>
  <c r="C51" s="1"/>
  <c r="C50" s="1"/>
  <c r="E52"/>
  <c r="E51" s="1"/>
  <c r="C28" i="29"/>
  <c r="E29" s="1"/>
  <c r="E31"/>
  <c r="E30" i="1"/>
  <c r="E13"/>
  <c r="C30"/>
  <c r="D13"/>
  <c r="D30"/>
  <c r="C39" i="29"/>
  <c r="C37"/>
  <c r="C35"/>
  <c r="C33"/>
  <c r="C31"/>
  <c r="B4"/>
  <c r="C5" s="1"/>
  <c r="E50" i="1" l="1"/>
  <c r="D50"/>
  <c r="D38" i="29"/>
  <c r="C13" i="1"/>
  <c r="M32" i="29"/>
  <c r="M33" s="1"/>
  <c r="D34"/>
  <c r="C29"/>
  <c r="D30"/>
  <c r="D36"/>
  <c r="D32"/>
  <c r="D28" l="1"/>
  <c r="O16" l="1"/>
  <c r="AH16" s="1"/>
  <c r="C84" i="1"/>
  <c r="D84"/>
  <c r="D83" s="1"/>
  <c r="D82" s="1"/>
  <c r="E84"/>
  <c r="E83" s="1"/>
  <c r="E82" s="1"/>
  <c r="C17" i="29"/>
  <c r="C83" i="1" l="1"/>
  <c r="C82" s="1"/>
  <c r="Q16" i="29"/>
  <c r="C34" i="21"/>
  <c r="C21" i="29"/>
  <c r="Q17" l="1"/>
  <c r="AJ16"/>
  <c r="AJ17" s="1"/>
  <c r="C33" i="21"/>
  <c r="M16" i="29" s="1"/>
  <c r="M17" s="1"/>
  <c r="C19"/>
  <c r="C15"/>
  <c r="C13"/>
  <c r="C11"/>
  <c r="C9"/>
  <c r="C7"/>
  <c r="E37" i="21"/>
  <c r="Q20" i="29" s="1"/>
  <c r="AJ20" s="1"/>
  <c r="D37" i="21"/>
  <c r="O20" i="29" s="1"/>
  <c r="AH20" s="1"/>
  <c r="C38" i="21"/>
  <c r="C37" s="1"/>
  <c r="E15"/>
  <c r="D15"/>
  <c r="C15"/>
  <c r="E92" i="1"/>
  <c r="E91" s="1"/>
  <c r="E90" s="1"/>
  <c r="D92"/>
  <c r="D91" s="1"/>
  <c r="D90" s="1"/>
  <c r="D21" i="21"/>
  <c r="D20" s="1"/>
  <c r="O8" i="29" s="1"/>
  <c r="AH8" s="1"/>
  <c r="E21" i="21"/>
  <c r="E20" s="1"/>
  <c r="Q8" i="29" s="1"/>
  <c r="AJ8" s="1"/>
  <c r="G87" i="17"/>
  <c r="G85"/>
  <c r="G63"/>
  <c r="G62" s="1"/>
  <c r="C19" i="21"/>
  <c r="G14" i="17"/>
  <c r="E77" i="1"/>
  <c r="E76" s="1"/>
  <c r="E75" s="1"/>
  <c r="D77"/>
  <c r="D76" s="1"/>
  <c r="D75" s="1"/>
  <c r="C77"/>
  <c r="C76" s="1"/>
  <c r="AJ9" i="29" l="1"/>
  <c r="C75" i="1"/>
  <c r="AF16" i="29"/>
  <c r="AF17" s="1"/>
  <c r="AJ21"/>
  <c r="C32" i="21"/>
  <c r="C29" s="1"/>
  <c r="C96" i="1"/>
  <c r="C95" s="1"/>
  <c r="C94" s="1"/>
  <c r="B15" i="4"/>
  <c r="C92" i="1"/>
  <c r="C91" s="1"/>
  <c r="C90" s="1"/>
  <c r="O17" i="29"/>
  <c r="D16"/>
  <c r="M20"/>
  <c r="M21" s="1"/>
  <c r="C21" i="21"/>
  <c r="C20" s="1"/>
  <c r="M8" i="29" s="1"/>
  <c r="M9" s="1"/>
  <c r="G30" i="17"/>
  <c r="Q9" i="29"/>
  <c r="Q21"/>
  <c r="D10"/>
  <c r="D20"/>
  <c r="D6"/>
  <c r="D12"/>
  <c r="D14"/>
  <c r="D8"/>
  <c r="D18"/>
  <c r="C15" i="4"/>
  <c r="D15"/>
  <c r="D14"/>
  <c r="C14"/>
  <c r="C12"/>
  <c r="D12"/>
  <c r="B12"/>
  <c r="E27" i="1"/>
  <c r="D27"/>
  <c r="C27"/>
  <c r="E45"/>
  <c r="Q36" i="29" s="1"/>
  <c r="D45" i="1"/>
  <c r="O36" i="29" s="1"/>
  <c r="C45" i="1"/>
  <c r="M36" i="29" s="1"/>
  <c r="D47" l="1"/>
  <c r="C47"/>
  <c r="B47"/>
  <c r="M37"/>
  <c r="M14"/>
  <c r="M15" s="1"/>
  <c r="AF8"/>
  <c r="AF9" s="1"/>
  <c r="O21"/>
  <c r="AF20"/>
  <c r="AH17"/>
  <c r="C74" i="1"/>
  <c r="D4" i="29"/>
  <c r="B16" i="4"/>
  <c r="D16"/>
  <c r="C16"/>
  <c r="O9" i="29"/>
  <c r="E26" i="1"/>
  <c r="E12" s="1"/>
  <c r="D26"/>
  <c r="D12" s="1"/>
  <c r="C26"/>
  <c r="C12" s="1"/>
  <c r="AH21" i="29" l="1"/>
  <c r="AF21"/>
  <c r="C73" i="1"/>
  <c r="C102" s="1"/>
  <c r="AH9" i="29"/>
  <c r="Q34"/>
  <c r="O34"/>
  <c r="M34"/>
  <c r="O37"/>
  <c r="Q37"/>
  <c r="E19" i="21"/>
  <c r="D19"/>
  <c r="M30" i="29" l="1"/>
  <c r="M31" s="1"/>
  <c r="M35"/>
  <c r="M38"/>
  <c r="Q35"/>
  <c r="O35"/>
  <c r="C18" i="16"/>
  <c r="C17" s="1"/>
  <c r="C16" s="1"/>
  <c r="E16" i="21"/>
  <c r="E14" s="1"/>
  <c r="G16" i="17"/>
  <c r="K13" s="1"/>
  <c r="B48" i="29" l="1"/>
  <c r="M39"/>
  <c r="G13" i="17"/>
  <c r="G12" s="1"/>
  <c r="M28" i="29"/>
  <c r="C16" i="21"/>
  <c r="C14" s="1"/>
  <c r="C15" i="16"/>
  <c r="C14" s="1"/>
  <c r="Q14" i="29"/>
  <c r="AJ14" s="1"/>
  <c r="D16" i="21"/>
  <c r="D14" s="1"/>
  <c r="Q6" i="29"/>
  <c r="E48" l="1"/>
  <c r="M29"/>
  <c r="B46"/>
  <c r="E46" s="1"/>
  <c r="E47"/>
  <c r="AJ6"/>
  <c r="Q10"/>
  <c r="AJ10" s="1"/>
  <c r="O14"/>
  <c r="O10"/>
  <c r="AH10" s="1"/>
  <c r="M10"/>
  <c r="M11" s="1"/>
  <c r="O6"/>
  <c r="E49" l="1"/>
  <c r="AH14"/>
  <c r="AJ15" s="1"/>
  <c r="O15"/>
  <c r="M6"/>
  <c r="M7" s="1"/>
  <c r="AH6"/>
  <c r="AJ7" s="1"/>
  <c r="AJ11"/>
  <c r="Q11"/>
  <c r="Q15"/>
  <c r="AF14"/>
  <c r="AF15" s="1"/>
  <c r="AF10"/>
  <c r="AF11" s="1"/>
  <c r="N32"/>
  <c r="N30"/>
  <c r="N36"/>
  <c r="N34"/>
  <c r="N38"/>
  <c r="Q32"/>
  <c r="O32"/>
  <c r="O11"/>
  <c r="Q7"/>
  <c r="AF6" l="1"/>
  <c r="AF7" s="1"/>
  <c r="O7"/>
  <c r="AH15"/>
  <c r="AH11"/>
  <c r="N28"/>
  <c r="O30"/>
  <c r="O33"/>
  <c r="Q30"/>
  <c r="Q33"/>
  <c r="AH7" l="1"/>
  <c r="Q31"/>
  <c r="D15" i="8"/>
  <c r="H58" i="35"/>
  <c r="E79" i="30"/>
  <c r="G77" i="17" l="1"/>
  <c r="E61" i="35"/>
  <c r="H63" i="23" l="1"/>
  <c r="G63"/>
  <c r="E60" i="35"/>
  <c r="E78" i="30"/>
  <c r="E77" s="1"/>
  <c r="G76" i="17"/>
  <c r="G67" l="1"/>
  <c r="G66" s="1"/>
  <c r="E64" i="30"/>
  <c r="E88" s="1"/>
  <c r="E12" s="1"/>
  <c r="F60" i="35"/>
  <c r="E64" i="31"/>
  <c r="G64" i="23"/>
  <c r="G62" s="1"/>
  <c r="G55" s="1"/>
  <c r="G54" s="1"/>
  <c r="F64" i="31"/>
  <c r="G60" i="35"/>
  <c r="E59"/>
  <c r="G65" i="17" l="1"/>
  <c r="G91" s="1"/>
  <c r="C23" i="16" s="1"/>
  <c r="C13" s="1"/>
  <c r="C36" i="21"/>
  <c r="C35" s="1"/>
  <c r="M18" i="29" s="1"/>
  <c r="M19" s="1"/>
  <c r="H60" i="35"/>
  <c r="D36" i="21"/>
  <c r="D35" s="1"/>
  <c r="G53" i="23"/>
  <c r="G75" s="1"/>
  <c r="D23" i="16" s="1"/>
  <c r="D97" i="1"/>
  <c r="D96" s="1"/>
  <c r="D95" s="1"/>
  <c r="D94" s="1"/>
  <c r="H64" i="23"/>
  <c r="E65" i="31"/>
  <c r="E63" s="1"/>
  <c r="E52" s="1"/>
  <c r="E12" s="1"/>
  <c r="F61" i="35"/>
  <c r="E48"/>
  <c r="C40" i="21" l="1"/>
  <c r="A16" i="38"/>
  <c r="E97" i="1"/>
  <c r="E96" s="1"/>
  <c r="E95" s="1"/>
  <c r="E94" s="1"/>
  <c r="D40" i="21"/>
  <c r="O18" i="29"/>
  <c r="M4"/>
  <c r="M5" s="1"/>
  <c r="AF18"/>
  <c r="AF19" s="1"/>
  <c r="D22" i="16"/>
  <c r="D21" s="1"/>
  <c r="D20" s="1"/>
  <c r="D19" s="1"/>
  <c r="C22"/>
  <c r="C21" s="1"/>
  <c r="C20" s="1"/>
  <c r="C19" s="1"/>
  <c r="E77" i="35"/>
  <c r="E73" s="1"/>
  <c r="E6"/>
  <c r="G61"/>
  <c r="G59" s="1"/>
  <c r="G48" s="1"/>
  <c r="F65" i="31"/>
  <c r="F63" s="1"/>
  <c r="F52" s="1"/>
  <c r="F12" s="1"/>
  <c r="H62" i="23"/>
  <c r="H55" s="1"/>
  <c r="H54" s="1"/>
  <c r="D73" i="1"/>
  <c r="D74"/>
  <c r="F59" i="35"/>
  <c r="G77" l="1"/>
  <c r="G73" s="1"/>
  <c r="G6"/>
  <c r="E73" i="1"/>
  <c r="E74"/>
  <c r="E71" i="35"/>
  <c r="E16" i="8"/>
  <c r="N10" i="29"/>
  <c r="N20"/>
  <c r="N12"/>
  <c r="N16"/>
  <c r="N8"/>
  <c r="N14"/>
  <c r="N6"/>
  <c r="AF4"/>
  <c r="AF5" s="1"/>
  <c r="H61" i="35"/>
  <c r="O38" i="29"/>
  <c r="D102" i="1"/>
  <c r="F48" i="35"/>
  <c r="H59"/>
  <c r="N18" i="29"/>
  <c r="H53" i="23"/>
  <c r="H75" s="1"/>
  <c r="E23" i="16" s="1"/>
  <c r="E36" i="21"/>
  <c r="E35" s="1"/>
  <c r="C12" i="16"/>
  <c r="D7" i="46" s="1"/>
  <c r="D16" i="8"/>
  <c r="O4" i="29"/>
  <c r="P18" s="1"/>
  <c r="O19"/>
  <c r="AH18"/>
  <c r="D14" i="8" l="1"/>
  <c r="E22" i="16"/>
  <c r="E21" s="1"/>
  <c r="E20" s="1"/>
  <c r="E19" s="1"/>
  <c r="G71" i="35"/>
  <c r="AG20" i="29"/>
  <c r="AG14"/>
  <c r="AG16"/>
  <c r="AG12"/>
  <c r="AG6"/>
  <c r="AG8"/>
  <c r="AG10"/>
  <c r="E40" i="21"/>
  <c r="Q18" i="29"/>
  <c r="O39"/>
  <c r="C48"/>
  <c r="O28"/>
  <c r="Q38"/>
  <c r="E102" i="1"/>
  <c r="N4" i="29"/>
  <c r="F6" i="35"/>
  <c r="F77"/>
  <c r="F73" s="1"/>
  <c r="H48"/>
  <c r="H77" s="1"/>
  <c r="AH19" i="29"/>
  <c r="P10"/>
  <c r="P16"/>
  <c r="P6"/>
  <c r="P12"/>
  <c r="O5"/>
  <c r="P14"/>
  <c r="P8"/>
  <c r="P20"/>
  <c r="AH4"/>
  <c r="AH5" s="1"/>
  <c r="B16" i="38"/>
  <c r="D18" i="16"/>
  <c r="AG18" i="29"/>
  <c r="F47" l="1"/>
  <c r="O29"/>
  <c r="F48"/>
  <c r="H73" i="35"/>
  <c r="C16" i="38"/>
  <c r="E18" i="16"/>
  <c r="AI8" i="29"/>
  <c r="AI10"/>
  <c r="AI20"/>
  <c r="AI12"/>
  <c r="AI16"/>
  <c r="AI6"/>
  <c r="AI14"/>
  <c r="F16" i="8"/>
  <c r="F71" i="35"/>
  <c r="K6"/>
  <c r="K71" s="1"/>
  <c r="H6"/>
  <c r="H71" s="1"/>
  <c r="I77" s="1"/>
  <c r="C46" i="29"/>
  <c r="F46" s="1"/>
  <c r="P30"/>
  <c r="P32"/>
  <c r="P34"/>
  <c r="P36"/>
  <c r="Q19"/>
  <c r="AJ18"/>
  <c r="Q4"/>
  <c r="R18" s="1"/>
  <c r="AI18"/>
  <c r="AG4"/>
  <c r="D17" i="16"/>
  <c r="D16" s="1"/>
  <c r="D15" s="1"/>
  <c r="D14" s="1"/>
  <c r="D13"/>
  <c r="D48" i="29"/>
  <c r="Q28"/>
  <c r="Q39"/>
  <c r="P4"/>
  <c r="P38"/>
  <c r="F49" l="1"/>
  <c r="G48"/>
  <c r="R38"/>
  <c r="G47"/>
  <c r="I74" i="35"/>
  <c r="I76"/>
  <c r="I75"/>
  <c r="AJ19" i="29"/>
  <c r="AI4"/>
  <c r="R30"/>
  <c r="Q29"/>
  <c r="R34"/>
  <c r="R32"/>
  <c r="D46"/>
  <c r="G46" s="1"/>
  <c r="R36"/>
  <c r="E15" i="8"/>
  <c r="E14" s="1"/>
  <c r="D12" i="16"/>
  <c r="R14" i="29"/>
  <c r="R20"/>
  <c r="Q5"/>
  <c r="R10"/>
  <c r="R16"/>
  <c r="R12"/>
  <c r="R6"/>
  <c r="R8"/>
  <c r="AJ4"/>
  <c r="AJ5" s="1"/>
  <c r="E17" i="16"/>
  <c r="E16" s="1"/>
  <c r="E15" s="1"/>
  <c r="E14" s="1"/>
  <c r="E13"/>
  <c r="P28" i="29"/>
  <c r="G49" l="1"/>
  <c r="F15" i="8"/>
  <c r="F14" s="1"/>
  <c r="E12" i="16"/>
  <c r="I73" i="35"/>
  <c r="I71"/>
  <c r="R28" i="29"/>
  <c r="AK16"/>
  <c r="AK20"/>
  <c r="AK14"/>
  <c r="AK8"/>
  <c r="AK6"/>
  <c r="AK10"/>
  <c r="AK12"/>
  <c r="R4"/>
  <c r="AK18"/>
  <c r="AK4" l="1"/>
</calcChain>
</file>

<file path=xl/sharedStrings.xml><?xml version="1.0" encoding="utf-8"?>
<sst xmlns="http://schemas.openxmlformats.org/spreadsheetml/2006/main" count="1859" uniqueCount="721">
  <si>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</si>
  <si>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</si>
  <si>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</si>
  <si>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</si>
  <si>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</si>
  <si>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</si>
  <si>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</si>
  <si>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</si>
  <si>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</si>
  <si>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</si>
  <si>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</si>
  <si>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</si>
  <si>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</si>
  <si>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</si>
  <si>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</si>
  <si>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</si>
  <si>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</si>
  <si>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</si>
  <si>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</si>
  <si>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</si>
  <si>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</si>
  <si>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</si>
  <si>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</si>
  <si>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</si>
  <si>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</si>
  <si>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</si>
  <si>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</si>
  <si>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</si>
  <si>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</si>
  <si>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</si>
  <si>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</si>
  <si>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</si>
  <si>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</si>
  <si>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</si>
  <si>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</si>
  <si>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</si>
  <si>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</si>
  <si>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</si>
  <si>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</si>
  <si>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</si>
  <si>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</si>
  <si>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</si>
  <si>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</si>
  <si>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</si>
  <si>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</si>
  <si>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</si>
  <si>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</si>
  <si>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</si>
  <si>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</si>
  <si>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</si>
  <si>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</si>
  <si>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</si>
  <si>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</si>
  <si>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</si>
  <si>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</si>
  <si>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</si>
  <si>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</si>
  <si>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</si>
  <si>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</si>
  <si>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</si>
  <si>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</si>
  <si>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</si>
  <si>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</si>
  <si>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</si>
  <si>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</si>
  <si>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</si>
  <si>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</si>
  <si>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</si>
  <si>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</si>
  <si>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</si>
  <si>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</si>
  <si>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</si>
  <si>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</si>
  <si>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</si>
  <si>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</si>
  <si>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</si>
  <si>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</si>
  <si>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</si>
  <si>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</si>
  <si>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</si>
  <si>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</si>
  <si>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</si>
  <si>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</si>
  <si>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</si>
  <si>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</si>
  <si>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</si>
  <si>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</si>
  <si>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</si>
  <si>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</si>
  <si>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</si>
  <si>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</si>
  <si>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</si>
  <si>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</si>
  <si>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</si>
  <si>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</si>
  <si>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</si>
  <si>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</si>
  <si>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</si>
  <si>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</si>
  <si>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</si>
  <si>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</si>
  <si>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</si>
  <si>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</si>
  <si>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</si>
  <si>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</si>
  <si>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</si>
  <si>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</si>
  <si>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</si>
  <si>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</si>
  <si>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</si>
  <si>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</si>
  <si>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</si>
  <si>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</si>
  <si>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</si>
  <si>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</si>
  <si>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</si>
  <si>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</si>
  <si>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</si>
  <si>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</si>
  <si>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</si>
  <si>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</si>
  <si>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</si>
  <si>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</si>
  <si>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</si>
  <si>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</si>
  <si>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</si>
  <si>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2018 год</t>
  </si>
  <si>
    <t>2019 год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</si>
  <si>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</si>
  <si>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</si>
  <si>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</si>
  <si>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</si>
  <si>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</si>
  <si>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</si>
  <si>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</si>
  <si>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</si>
  <si>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</si>
  <si>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</si>
  <si>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</si>
  <si>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</si>
  <si>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</si>
  <si>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</si>
  <si>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</si>
  <si>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</si>
  <si>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</si>
  <si>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</si>
  <si>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</si>
  <si>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Физическая культура и спорт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</si>
  <si>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</si>
  <si>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</si>
  <si>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</si>
  <si>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</si>
  <si>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2020 год</t>
  </si>
  <si>
    <t>Проект бюджета</t>
  </si>
  <si>
    <t>2017 год</t>
  </si>
  <si>
    <t>сумма, рублей</t>
  </si>
  <si>
    <t>доля в общем объеме расходов, %</t>
  </si>
  <si>
    <t>Расходы, всего</t>
  </si>
  <si>
    <t>% к предыдущему году</t>
  </si>
  <si>
    <t>Национальная безопасность</t>
  </si>
  <si>
    <t>Культура, кинематография</t>
  </si>
  <si>
    <t>Код главного распорядителя</t>
  </si>
  <si>
    <t>Подраздел</t>
  </si>
  <si>
    <t>10</t>
  </si>
  <si>
    <t>доля в общем объеме доходов, %</t>
  </si>
  <si>
    <t>Доходы, всего</t>
  </si>
  <si>
    <t>Налоговые и неналоговые доходы</t>
  </si>
  <si>
    <t>Налоги на имущество</t>
  </si>
  <si>
    <t>Неналоговые доходы</t>
  </si>
  <si>
    <t>Безвозмездные поступления</t>
  </si>
  <si>
    <t>РАСХОДЫ</t>
  </si>
  <si>
    <t xml:space="preserve">ДОХОДЫ 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</si>
  <si>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</si>
  <si>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</si>
  <si>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</si>
  <si>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</si>
  <si>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</si>
  <si>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</si>
  <si>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</si>
  <si>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</si>
  <si>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</si>
  <si>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</si>
  <si>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</si>
  <si>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</si>
  <si>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</si>
  <si>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</si>
  <si>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</si>
  <si>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</si>
  <si>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</si>
  <si>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</si>
  <si>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</si>
  <si>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</si>
  <si>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</si>
  <si>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</si>
  <si>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</si>
  <si>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</si>
  <si>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</si>
  <si>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</si>
  <si>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</si>
  <si>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</si>
  <si>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</si>
  <si>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</si>
  <si>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</si>
  <si>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</si>
  <si>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</si>
  <si>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</si>
  <si>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</si>
  <si>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</si>
  <si>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</si>
  <si>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</si>
  <si>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</si>
  <si>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</si>
  <si>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</si>
  <si>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</si>
  <si>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</si>
  <si>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</si>
  <si>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</si>
  <si>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</si>
  <si>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</si>
  <si>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</si>
  <si>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</si>
  <si>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</si>
  <si>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</si>
  <si>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</si>
  <si>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</si>
  <si>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</si>
  <si>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</si>
  <si>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</si>
  <si>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</si>
  <si>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</si>
  <si>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</si>
  <si>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</si>
  <si>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</si>
  <si>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</si>
  <si>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</si>
  <si>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</si>
  <si>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</si>
  <si>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</si>
  <si>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</si>
  <si>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</si>
  <si>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</si>
  <si>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</si>
  <si>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</si>
  <si>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</si>
  <si>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</si>
  <si>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</si>
  <si>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</si>
  <si>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</si>
  <si>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</si>
  <si>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</si>
  <si>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</si>
  <si>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</si>
  <si>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</si>
  <si>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</si>
  <si>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Обеспечение мероприятий по организации в границах поселения водоснабжения населения</t>
  </si>
  <si>
    <t>0502</t>
  </si>
  <si>
    <t>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</si>
  <si>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</si>
  <si>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</si>
  <si>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</si>
  <si>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</si>
  <si>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</si>
  <si>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</si>
  <si>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</si>
  <si>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</si>
  <si>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</si>
  <si>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</si>
  <si>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</si>
  <si>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</si>
  <si>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МУНИЦИПАЛЬНАЯ ПРОГРАММА «РАЗВИТИЕ ТЕРРИТОРИИ ЛЕЖНЕВСКОГО СЕЛЬСКОГО ПОСЕЛЕНИЯ НА 2019-2021 ГОДЫ»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</si>
  <si>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</si>
  <si>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</si>
  <si>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</si>
  <si>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</si>
  <si>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</si>
  <si>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</si>
  <si>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</si>
  <si>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</si>
  <si>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</si>
  <si>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</si>
  <si>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</si>
  <si>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</si>
  <si>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</si>
  <si>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</si>
  <si>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</si>
  <si>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</si>
  <si>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</si>
  <si>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</si>
  <si>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</si>
  <si>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</si>
  <si>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</si>
  <si>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</si>
  <si>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</si>
  <si>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</si>
  <si>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</si>
  <si>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</si>
  <si>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</si>
  <si>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</si>
  <si>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</si>
  <si>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</si>
  <si>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</si>
  <si>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</si>
  <si>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</si>
  <si>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</si>
  <si>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</si>
  <si>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</si>
  <si>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</si>
  <si>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</si>
  <si>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</si>
  <si>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</si>
  <si>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</si>
  <si>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</si>
  <si>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</si>
  <si>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</si>
  <si>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</si>
  <si>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</si>
  <si>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</si>
  <si>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</si>
  <si>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</si>
  <si>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</si>
  <si>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</si>
  <si>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Наименование показателей</t>
  </si>
  <si>
    <t>Уточненный план на 2018 год, тыс.руб.</t>
  </si>
  <si>
    <t>Ожидаемое исполнение года</t>
  </si>
  <si>
    <t>ДОХОДЫ</t>
  </si>
  <si>
    <t>Налоговые доходы</t>
  </si>
  <si>
    <t>в том числе:</t>
  </si>
  <si>
    <t>Прочие поступления</t>
  </si>
  <si>
    <t>ВСЕГО ДОХОДОВ</t>
  </si>
  <si>
    <t>Культура и кинематография, средства массовой информации</t>
  </si>
  <si>
    <t>ВСЕГО РАСХОДОВ</t>
  </si>
  <si>
    <t>Дефицит</t>
  </si>
  <si>
    <t>Источники дефицита бюджета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</si>
  <si>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</si>
  <si>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</si>
  <si>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</si>
  <si>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</si>
  <si>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</si>
  <si>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</si>
  <si>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</si>
  <si>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</si>
  <si>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</si>
  <si>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</si>
  <si>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</si>
  <si>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</si>
  <si>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</si>
  <si>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</si>
  <si>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</si>
  <si>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</si>
  <si>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</si>
  <si>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</si>
  <si>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</si>
  <si>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</si>
  <si>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</si>
  <si>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</si>
  <si>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</si>
  <si>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</si>
  <si>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</si>
  <si>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</si>
  <si>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</si>
  <si>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</si>
  <si>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</si>
  <si>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</si>
  <si>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</si>
  <si>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</si>
  <si>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</si>
  <si>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</si>
  <si>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</si>
  <si>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</si>
  <si>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</si>
  <si>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</si>
  <si>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</si>
  <si>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</si>
  <si>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</si>
  <si>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</si>
  <si>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</si>
  <si>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</si>
  <si>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</si>
  <si>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</si>
  <si>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</si>
  <si>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</si>
  <si>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</si>
  <si>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</si>
  <si>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</si>
  <si>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</si>
  <si>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</si>
  <si>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</si>
  <si>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</si>
  <si>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</si>
  <si>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</si>
  <si>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</si>
  <si>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</si>
  <si>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</si>
  <si>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</si>
  <si>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</si>
  <si>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</si>
  <si>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</si>
  <si>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</si>
  <si>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</si>
  <si>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</si>
  <si>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</si>
  <si>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</si>
  <si>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</si>
  <si>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</si>
  <si>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</si>
  <si>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</si>
  <si>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</si>
  <si>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</si>
  <si>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</si>
  <si>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</si>
  <si>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</si>
  <si>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</si>
  <si>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</si>
  <si>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</si>
  <si>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</si>
  <si>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</si>
  <si>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</si>
  <si>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</si>
  <si>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</si>
  <si>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</si>
  <si>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</si>
  <si>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</si>
  <si>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</si>
  <si>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</si>
  <si>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</si>
  <si>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</si>
  <si>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</si>
  <si>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</si>
  <si>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</si>
  <si>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</si>
  <si>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</si>
  <si>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</si>
  <si>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</si>
  <si>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</si>
  <si>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</si>
  <si>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</si>
  <si>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</si>
  <si>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</si>
  <si>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</si>
  <si>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</si>
  <si>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тыс.руб.</t>
  </si>
  <si>
    <t>минимальное значение</t>
  </si>
  <si>
    <t>принимаемое к расчету</t>
  </si>
  <si>
    <t>не менее</t>
  </si>
  <si>
    <t>% исполнения</t>
  </si>
  <si>
    <t>Доходы от имущества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</si>
  <si>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</si>
  <si>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</si>
  <si>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для диаграммы</t>
  </si>
  <si>
    <t>выделить наименование и столбец с данными - вставка - круговая диаграмма - правой кнопкой  добавить подписи данных - снова правой кнопкой формат подписей денных поставить галкой доли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</si>
  <si>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</si>
  <si>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</si>
  <si>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</si>
  <si>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>100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</si>
  <si>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</si>
  <si>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</si>
  <si>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</si>
  <si>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</si>
  <si>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</si>
  <si>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</si>
  <si>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</si>
  <si>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</si>
  <si>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</si>
  <si>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</si>
  <si>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</si>
  <si>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</si>
  <si>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</si>
  <si>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</si>
  <si>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</si>
  <si>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</si>
  <si>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</si>
  <si>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</si>
  <si>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</si>
  <si>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</si>
  <si>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</si>
  <si>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</si>
  <si>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</si>
  <si>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</si>
  <si>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</si>
  <si>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</si>
  <si>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</si>
  <si>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</si>
  <si>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</si>
  <si>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</si>
  <si>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Расходы</t>
  </si>
  <si>
    <t>Всего</t>
  </si>
  <si>
    <t>Доля в общем объеме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</si>
  <si>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</si>
  <si>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</si>
  <si>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</si>
  <si>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</si>
  <si>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</si>
  <si>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</si>
  <si>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</si>
  <si>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</si>
  <si>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</si>
  <si>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</si>
  <si>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</si>
  <si>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Прочая закупка товаров, работ и услуг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</si>
  <si>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</si>
  <si>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</si>
  <si>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</si>
  <si>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</si>
  <si>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</si>
  <si>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</si>
  <si>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</si>
  <si>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</si>
  <si>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</si>
  <si>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</si>
  <si>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</si>
  <si>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</si>
  <si>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</si>
  <si>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Обеспечение мероприятий по содержанию мест захоронений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</si>
  <si>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</si>
  <si>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</si>
  <si>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</si>
  <si>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</si>
  <si>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Обеспечений мероприятий по сохранинию, использованию и популяризации объектов культурного наследия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</si>
  <si>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</si>
  <si>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</si>
  <si>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</si>
  <si>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</si>
  <si>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</si>
  <si>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</si>
  <si>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</si>
  <si>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</si>
  <si>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</si>
  <si>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</si>
  <si>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</si>
  <si>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</si>
  <si>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</si>
  <si>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</si>
  <si>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</si>
  <si>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</si>
  <si>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</si>
  <si>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</si>
  <si>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</si>
  <si>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</si>
  <si>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</si>
  <si>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</si>
  <si>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</si>
  <si>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</si>
  <si>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</si>
  <si>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</si>
  <si>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</si>
  <si>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</si>
  <si>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</si>
  <si>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</si>
  <si>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</si>
  <si>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</si>
  <si>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</si>
  <si>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</si>
  <si>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</si>
  <si>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</si>
  <si>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</si>
  <si>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</si>
  <si>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</si>
  <si>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</si>
  <si>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</si>
  <si>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</si>
  <si>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</si>
  <si>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</si>
  <si>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</si>
  <si>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</si>
  <si>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</si>
  <si>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</si>
  <si>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</si>
  <si>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</si>
  <si>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</si>
  <si>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</si>
  <si>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</si>
  <si>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</si>
  <si>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</si>
  <si>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</si>
  <si>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</si>
  <si>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</si>
  <si>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</si>
  <si>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</si>
  <si>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</si>
  <si>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</si>
  <si>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</si>
  <si>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</si>
  <si>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</si>
  <si>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</si>
  <si>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</si>
  <si>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</si>
  <si>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</si>
  <si>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</si>
  <si>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</si>
  <si>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</si>
  <si>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</si>
  <si>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</si>
  <si>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</si>
  <si>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</si>
  <si>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</si>
  <si>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</si>
  <si>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</si>
  <si>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</si>
  <si>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</si>
  <si>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</si>
  <si>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2024  год</t>
  </si>
  <si>
    <t>Уточненный план на 2021 год, тыс.руб.</t>
  </si>
  <si>
    <r>
      <t xml:space="preserve">2016-2020, окончательные утвержденные значения (на 31.12), </t>
    </r>
    <r>
      <rPr>
        <b/>
        <sz val="10"/>
        <color theme="1"/>
        <rFont val="Calibri"/>
        <family val="2"/>
        <charset val="204"/>
        <scheme val="minor"/>
      </rPr>
      <t>2021 - утверждено на 01.11.2021</t>
    </r>
    <r>
      <rPr>
        <sz val="10"/>
        <color theme="1"/>
        <rFont val="Calibri"/>
        <family val="2"/>
        <charset val="204"/>
        <scheme val="minor"/>
      </rPr>
      <t>, 2022-2024 -проект</t>
    </r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</si>
  <si>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</si>
  <si>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</si>
  <si>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</si>
  <si>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</si>
  <si>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%</t>
  </si>
  <si>
    <t>Ожидаемое исполнение 2021 год (руб.)</t>
  </si>
  <si>
    <t xml:space="preserve">ПСД на ремонт </t>
  </si>
  <si>
    <t>Налог на имущество</t>
  </si>
  <si>
    <t>доходы ставила вручную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</si>
  <si>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</si>
  <si>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</si>
  <si>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</si>
  <si>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</si>
  <si>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</si>
  <si>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</si>
  <si>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</si>
  <si>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</si>
  <si>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</si>
  <si>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</si>
  <si>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</si>
  <si>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</si>
  <si>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</si>
  <si>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</si>
  <si>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</si>
  <si>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</si>
  <si>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</si>
  <si>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</si>
  <si>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</si>
  <si>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</si>
  <si>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</si>
  <si>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</si>
  <si>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</si>
  <si>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</si>
  <si>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</si>
  <si>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</si>
  <si>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</si>
  <si>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</si>
  <si>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</si>
  <si>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</si>
  <si>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</si>
  <si>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</si>
  <si>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</si>
  <si>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</si>
  <si>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</si>
  <si>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</si>
  <si>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</si>
  <si>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</si>
  <si>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</si>
  <si>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</si>
  <si>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</si>
  <si>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(из них взяли на очистку крыш от снега - 20 тыс.руб., кресла в Телегино  - 105 тыс.ру.)</t>
  </si>
  <si>
    <t>на машину</t>
  </si>
  <si>
    <t>сч.1</t>
  </si>
  <si>
    <t>сч.2</t>
  </si>
  <si>
    <t>нал/с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</si>
  <si>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</si>
  <si>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</si>
  <si>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</si>
  <si>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</si>
  <si>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</si>
  <si>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</si>
  <si>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</si>
  <si>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</si>
  <si>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</si>
  <si>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</si>
  <si>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</si>
  <si>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мебель в клуб</t>
  </si>
  <si>
    <t>дополнительно на мероприятия (дни села и т.п.)</t>
  </si>
  <si>
    <t>мебель в клубы</t>
  </si>
  <si>
    <t>сч.3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</si>
  <si>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</si>
  <si>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</si>
  <si>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</si>
  <si>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</si>
  <si>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</si>
  <si>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</si>
  <si>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</si>
  <si>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</si>
  <si>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</si>
  <si>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з/п культура (индексация июнь)</t>
  </si>
  <si>
    <t>возмещение расходов (комп.)</t>
  </si>
  <si>
    <t>з/п культура индексация ДГПХ</t>
  </si>
  <si>
    <t>налоги администрация</t>
  </si>
  <si>
    <t>уличное освещение (претензии)</t>
  </si>
  <si>
    <t>октябрь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</si>
  <si>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</si>
  <si>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</si>
  <si>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</si>
  <si>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</si>
  <si>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</si>
  <si>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благоустройство (в октябре)</t>
  </si>
  <si>
    <t>дополнительно из зем.нал. с орг.</t>
  </si>
  <si>
    <t>,</t>
  </si>
  <si>
    <t>НДФЛ передвинули между собой</t>
  </si>
  <si>
    <t>увеличили з.н с огр.на 350 т.р.</t>
  </si>
  <si>
    <t>пожарная безопасность (в октябре)</t>
  </si>
  <si>
    <t>передвижки</t>
  </si>
  <si>
    <t>Воскресенское (из пер.ост.)</t>
  </si>
  <si>
    <t>ремонт объектов культурного наследия</t>
  </si>
  <si>
    <t>з/п худ.рук. Воскресенсоке</t>
  </si>
  <si>
    <t>принтер культура</t>
  </si>
  <si>
    <t>принтер администрация</t>
  </si>
  <si>
    <t>увеличена мал.дотация на 277 539,58</t>
  </si>
  <si>
    <t>комп. спец.адм</t>
  </si>
  <si>
    <t>923 116 07090 10 0000 140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</si>
  <si>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</si>
  <si>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000 116 07090 10 0000 140</t>
  </si>
  <si>
    <t>000 116 07000 10 0000 140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</si>
  <si>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</si>
  <si>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рынды, знаки</t>
  </si>
  <si>
    <t>колеса, содержание транспорта</t>
  </si>
  <si>
    <t>ноябрь</t>
  </si>
  <si>
    <t>от Оксаны (на состоянии счета)</t>
  </si>
  <si>
    <t>дополнительно из пер.ост. (в октябре)</t>
  </si>
  <si>
    <t>дополнительно из пер.ост. (в ноябре)</t>
  </si>
  <si>
    <t>дополнительно из зем.нал. с орг. (на них есть счета)</t>
  </si>
  <si>
    <t xml:space="preserve">вся оргтехника (она заплачена по статье 0140100300, с Оксаной обговорено), их убираю с этой статьи на благоустройство </t>
  </si>
  <si>
    <t>(за счет орг.техники и экономии по площадкам)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</si>
</sst>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0.0"/>
    <numFmt numFmtId="168" formatCode="#,##0.0"/>
    <numFmt numFmtId="169" formatCode="#,##0.00_ ;\-#,##0.00\ "/>
    <numFmt numFmtId="170" formatCode="000000"/>
  </numFmts>
  <fonts count="5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3" fillId="0" borderId="0">
      <alignment vertical="center"/>
    </xf>
    <xf numFmtId="0" fontId="43" fillId="0" borderId="10">
      <alignment horizontal="center" vertical="center" wrapText="1"/>
    </xf>
    <xf numFmtId="0" fontId="43" fillId="0" borderId="23">
      <alignment horizontal="center" vertical="center" wrapText="1"/>
    </xf>
    <xf numFmtId="49" fontId="44" fillId="0" borderId="14">
      <alignment vertical="center" wrapText="1"/>
    </xf>
    <xf numFmtId="4" fontId="44" fillId="0" borderId="10">
      <alignment horizontal="right" vertical="center" shrinkToFit="1"/>
    </xf>
    <xf numFmtId="49" fontId="45" fillId="0" borderId="24">
      <alignment horizontal="left" vertical="center" wrapText="1" indent="1"/>
    </xf>
    <xf numFmtId="4" fontId="45" fillId="0" borderId="10">
      <alignment horizontal="right" vertical="center" shrinkToFit="1"/>
    </xf>
  </cellStyleXfs>
  <cellXfs count="67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167" fontId="15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167" fontId="15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19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/>
    <xf numFmtId="43" fontId="1" fillId="0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 applyAlignment="1">
      <alignment vertical="top"/>
    </xf>
    <xf numFmtId="164" fontId="0" fillId="0" borderId="0" xfId="0" applyNumberFormat="1" applyFill="1" applyProtection="1">
      <protection locked="0"/>
    </xf>
    <xf numFmtId="0" fontId="22" fillId="0" borderId="1" xfId="0" applyFont="1" applyBorder="1" applyAlignment="1">
      <alignment wrapText="1"/>
    </xf>
    <xf numFmtId="3" fontId="22" fillId="0" borderId="1" xfId="0" applyNumberFormat="1" applyFont="1" applyFill="1" applyBorder="1" applyAlignment="1">
      <alignment horizontal="right"/>
    </xf>
    <xf numFmtId="167" fontId="22" fillId="0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167" fontId="23" fillId="0" borderId="1" xfId="0" applyNumberFormat="1" applyFont="1" applyFill="1" applyBorder="1" applyAlignment="1">
      <alignment horizontal="right"/>
    </xf>
    <xf numFmtId="167" fontId="15" fillId="0" borderId="1" xfId="0" applyNumberFormat="1" applyFont="1" applyBorder="1" applyAlignment="1">
      <alignment wrapText="1"/>
    </xf>
    <xf numFmtId="0" fontId="24" fillId="0" borderId="1" xfId="0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right"/>
    </xf>
    <xf numFmtId="167" fontId="25" fillId="0" borderId="1" xfId="0" applyNumberFormat="1" applyFont="1" applyBorder="1" applyAlignment="1">
      <alignment horizontal="right"/>
    </xf>
    <xf numFmtId="167" fontId="25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wrapText="1"/>
    </xf>
    <xf numFmtId="3" fontId="24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wrapText="1"/>
    </xf>
    <xf numFmtId="168" fontId="25" fillId="0" borderId="1" xfId="0" applyNumberFormat="1" applyFont="1" applyBorder="1" applyAlignment="1">
      <alignment horizontal="right"/>
    </xf>
    <xf numFmtId="167" fontId="25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wrapText="1"/>
    </xf>
    <xf numFmtId="3" fontId="23" fillId="0" borderId="1" xfId="0" applyNumberFormat="1" applyFont="1" applyFill="1" applyBorder="1" applyAlignment="1">
      <alignment horizontal="center"/>
    </xf>
    <xf numFmtId="167" fontId="23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wrapText="1"/>
    </xf>
    <xf numFmtId="0" fontId="25" fillId="0" borderId="1" xfId="0" applyFont="1" applyFill="1" applyBorder="1" applyAlignment="1">
      <alignment horizontal="center"/>
    </xf>
    <xf numFmtId="167" fontId="25" fillId="0" borderId="1" xfId="0" applyNumberFormat="1" applyFont="1" applyFill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horizontal="center" wrapText="1"/>
    </xf>
    <xf numFmtId="3" fontId="25" fillId="0" borderId="1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6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7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0" fillId="0" borderId="0" xfId="0" applyNumberFormat="1" applyFill="1"/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3" fontId="18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7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167" fontId="29" fillId="0" borderId="1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167" fontId="25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1" fillId="0" borderId="0" xfId="0" applyNumberFormat="1" applyFont="1" applyAlignment="1">
      <alignment horizontal="center" wrapText="1"/>
    </xf>
    <xf numFmtId="0" fontId="31" fillId="0" borderId="0" xfId="0" applyFont="1"/>
    <xf numFmtId="0" fontId="31" fillId="0" borderId="0" xfId="0" applyFont="1" applyFill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33" fillId="0" borderId="0" xfId="0" applyFont="1" applyFill="1"/>
    <xf numFmtId="0" fontId="33" fillId="0" borderId="0" xfId="0" applyFont="1"/>
    <xf numFmtId="167" fontId="33" fillId="0" borderId="0" xfId="0" applyNumberFormat="1" applyFont="1"/>
    <xf numFmtId="0" fontId="24" fillId="0" borderId="0" xfId="0" applyFont="1"/>
    <xf numFmtId="0" fontId="31" fillId="4" borderId="0" xfId="0" applyFont="1" applyFill="1" applyAlignment="1">
      <alignment wrapText="1"/>
    </xf>
    <xf numFmtId="3" fontId="24" fillId="0" borderId="0" xfId="0" applyNumberFormat="1" applyFont="1"/>
    <xf numFmtId="167" fontId="31" fillId="0" borderId="0" xfId="0" applyNumberFormat="1" applyFont="1"/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0" fontId="35" fillId="0" borderId="2" xfId="0" applyFont="1" applyBorder="1" applyAlignment="1">
      <alignment wrapText="1"/>
    </xf>
    <xf numFmtId="0" fontId="24" fillId="0" borderId="0" xfId="0" applyFont="1" applyFill="1" applyBorder="1"/>
    <xf numFmtId="4" fontId="35" fillId="0" borderId="1" xfId="0" applyNumberFormat="1" applyFont="1" applyBorder="1" applyAlignment="1">
      <alignment horizontal="center" wrapText="1"/>
    </xf>
    <xf numFmtId="4" fontId="35" fillId="0" borderId="2" xfId="0" applyNumberFormat="1" applyFont="1" applyBorder="1" applyAlignment="1">
      <alignment horizontal="center" wrapText="1"/>
    </xf>
    <xf numFmtId="4" fontId="24" fillId="0" borderId="0" xfId="0" applyNumberFormat="1" applyFont="1" applyFill="1" applyBorder="1"/>
    <xf numFmtId="0" fontId="15" fillId="0" borderId="1" xfId="0" applyFont="1" applyBorder="1"/>
    <xf numFmtId="4" fontId="23" fillId="0" borderId="1" xfId="0" applyNumberFormat="1" applyFont="1" applyBorder="1" applyAlignment="1">
      <alignment horizontal="center" wrapText="1"/>
    </xf>
    <xf numFmtId="4" fontId="25" fillId="0" borderId="1" xfId="0" applyNumberFormat="1" applyFont="1" applyBorder="1" applyAlignment="1">
      <alignment horizontal="right"/>
    </xf>
    <xf numFmtId="4" fontId="25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2" fillId="3" borderId="1" xfId="0" applyFont="1" applyFill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justify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justify" wrapText="1"/>
    </xf>
    <xf numFmtId="4" fontId="25" fillId="0" borderId="1" xfId="0" applyNumberFormat="1" applyFont="1" applyBorder="1"/>
    <xf numFmtId="0" fontId="36" fillId="0" borderId="0" xfId="0" applyFont="1"/>
    <xf numFmtId="0" fontId="14" fillId="0" borderId="0" xfId="0" applyFont="1" applyFill="1"/>
    <xf numFmtId="0" fontId="0" fillId="0" borderId="0" xfId="0" applyFont="1" applyFill="1"/>
    <xf numFmtId="4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/>
    <xf numFmtId="0" fontId="31" fillId="5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0" fontId="37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8" fillId="0" borderId="1" xfId="0" applyNumberFormat="1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 applyProtection="1">
      <alignment vertical="top" wrapText="1"/>
    </xf>
    <xf numFmtId="0" fontId="38" fillId="0" borderId="0" xfId="0" applyFont="1"/>
    <xf numFmtId="4" fontId="38" fillId="0" borderId="0" xfId="0" applyNumberFormat="1" applyFont="1"/>
    <xf numFmtId="4" fontId="36" fillId="0" borderId="0" xfId="0" applyNumberFormat="1" applyFont="1"/>
    <xf numFmtId="0" fontId="36" fillId="0" borderId="0" xfId="0" applyFont="1" applyFill="1"/>
    <xf numFmtId="4" fontId="36" fillId="0" borderId="0" xfId="0" applyNumberFormat="1" applyFont="1" applyFill="1"/>
    <xf numFmtId="4" fontId="38" fillId="0" borderId="0" xfId="0" applyNumberFormat="1" applyFont="1" applyFill="1"/>
    <xf numFmtId="0" fontId="38" fillId="0" borderId="0" xfId="0" applyFont="1" applyFill="1"/>
    <xf numFmtId="164" fontId="36" fillId="0" borderId="0" xfId="0" applyNumberFormat="1" applyFont="1"/>
    <xf numFmtId="164" fontId="38" fillId="0" borderId="0" xfId="0" applyNumberFormat="1" applyFont="1"/>
    <xf numFmtId="164" fontId="38" fillId="0" borderId="0" xfId="0" applyNumberFormat="1" applyFont="1" applyFill="1"/>
    <xf numFmtId="164" fontId="36" fillId="0" borderId="0" xfId="0" applyNumberFormat="1" applyFont="1" applyFill="1"/>
    <xf numFmtId="0" fontId="1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wrapText="1"/>
    </xf>
    <xf numFmtId="4" fontId="30" fillId="0" borderId="1" xfId="0" applyNumberFormat="1" applyFont="1" applyBorder="1" applyAlignment="1">
      <alignment horizontal="center" wrapText="1"/>
    </xf>
    <xf numFmtId="4" fontId="29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40" fillId="0" borderId="0" xfId="0" applyFont="1"/>
    <xf numFmtId="0" fontId="28" fillId="0" borderId="0" xfId="0" applyFont="1"/>
    <xf numFmtId="0" fontId="21" fillId="0" borderId="0" xfId="0" applyFont="1" applyFill="1" applyAlignment="1">
      <alignment horizontal="right"/>
    </xf>
    <xf numFmtId="43" fontId="20" fillId="0" borderId="1" xfId="0" applyNumberFormat="1" applyFont="1" applyFill="1" applyBorder="1" applyAlignment="1">
      <alignment vertical="top" wrapText="1"/>
    </xf>
    <xf numFmtId="43" fontId="20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>
      <alignment horizontal="right"/>
    </xf>
    <xf numFmtId="0" fontId="27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7" fillId="0" borderId="0" xfId="0" applyFont="1" applyFill="1" applyAlignment="1">
      <alignment vertical="top"/>
    </xf>
    <xf numFmtId="0" fontId="41" fillId="0" borderId="1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2" fillId="0" borderId="0" xfId="0" applyFont="1"/>
    <xf numFmtId="9" fontId="0" fillId="0" borderId="0" xfId="0" applyNumberFormat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48" fillId="4" borderId="1" xfId="0" applyNumberFormat="1" applyFont="1" applyFill="1" applyBorder="1" applyAlignment="1">
      <alignment vertical="top" wrapText="1"/>
    </xf>
    <xf numFmtId="0" fontId="49" fillId="8" borderId="1" xfId="0" applyFont="1" applyFill="1" applyBorder="1" applyAlignment="1">
      <alignment vertical="top" wrapText="1"/>
    </xf>
    <xf numFmtId="4" fontId="49" fillId="8" borderId="1" xfId="0" applyNumberFormat="1" applyFont="1" applyFill="1" applyBorder="1" applyAlignment="1">
      <alignment vertical="top" wrapText="1"/>
    </xf>
    <xf numFmtId="0" fontId="49" fillId="8" borderId="0" xfId="0" applyFont="1" applyFill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1" fillId="8" borderId="1" xfId="0" applyNumberFormat="1" applyFont="1" applyFill="1" applyBorder="1" applyAlignment="1">
      <alignment vertical="top" wrapText="1"/>
    </xf>
    <xf numFmtId="4" fontId="39" fillId="0" borderId="1" xfId="0" applyNumberFormat="1" applyFont="1" applyBorder="1" applyAlignment="1">
      <alignment vertical="top" wrapText="1"/>
    </xf>
    <xf numFmtId="0" fontId="49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4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4" fontId="49" fillId="0" borderId="1" xfId="0" applyNumberFormat="1" applyFont="1" applyBorder="1" applyAlignment="1">
      <alignment vertical="top" wrapText="1"/>
    </xf>
    <xf numFmtId="0" fontId="49" fillId="0" borderId="0" xfId="0" applyFont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4" fontId="49" fillId="6" borderId="1" xfId="0" applyNumberFormat="1" applyFont="1" applyFill="1" applyBorder="1" applyAlignment="1">
      <alignment vertical="top" wrapText="1"/>
    </xf>
    <xf numFmtId="0" fontId="16" fillId="6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justify" vertical="top"/>
    </xf>
    <xf numFmtId="4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Border="1" applyAlignment="1" applyProtection="1">
      <alignment vertical="top" wrapText="1"/>
      <protection locked="0"/>
    </xf>
    <xf numFmtId="4" fontId="25" fillId="0" borderId="0" xfId="0" applyNumberFormat="1" applyFont="1" applyFill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2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70" fontId="16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16" fillId="0" borderId="0" xfId="0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0" fillId="0" borderId="1" xfId="0" applyFont="1" applyBorder="1"/>
    <xf numFmtId="170" fontId="18" fillId="0" borderId="1" xfId="3" applyNumberFormat="1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53" fillId="2" borderId="0" xfId="0" applyFont="1" applyFill="1"/>
    <xf numFmtId="0" fontId="53" fillId="0" borderId="0" xfId="0" applyFont="1"/>
    <xf numFmtId="0" fontId="53" fillId="0" borderId="0" xfId="0" applyFont="1" applyFill="1" applyProtection="1">
      <protection locked="0"/>
    </xf>
    <xf numFmtId="0" fontId="53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top" wrapText="1"/>
    </xf>
    <xf numFmtId="49" fontId="41" fillId="0" borderId="1" xfId="0" applyNumberFormat="1" applyFont="1" applyFill="1" applyBorder="1" applyAlignment="1">
      <alignment horizontal="center" vertical="top" wrapText="1"/>
    </xf>
    <xf numFmtId="43" fontId="41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center" vertical="top" wrapText="1"/>
    </xf>
    <xf numFmtId="43" fontId="41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7" fillId="0" borderId="0" xfId="0" applyNumberFormat="1" applyFont="1" applyFill="1"/>
    <xf numFmtId="2" fontId="27" fillId="0" borderId="0" xfId="0" applyNumberFormat="1" applyFont="1" applyFill="1"/>
    <xf numFmtId="43" fontId="27" fillId="0" borderId="0" xfId="0" applyNumberFormat="1" applyFont="1" applyFill="1"/>
    <xf numFmtId="0" fontId="21" fillId="2" borderId="0" xfId="0" applyFont="1" applyFill="1"/>
    <xf numFmtId="4" fontId="21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27" fillId="0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41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4" fontId="52" fillId="5" borderId="0" xfId="0" applyNumberFormat="1" applyFont="1" applyFill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top" wrapText="1"/>
    </xf>
    <xf numFmtId="4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6" fillId="0" borderId="7" xfId="0" applyFont="1" applyBorder="1" applyAlignment="1">
      <alignment vertical="top" wrapText="1"/>
    </xf>
    <xf numFmtId="2" fontId="31" fillId="0" borderId="0" xfId="0" applyNumberFormat="1" applyFont="1" applyFill="1"/>
    <xf numFmtId="4" fontId="16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3" fontId="0" fillId="0" borderId="0" xfId="0" applyNumberFormat="1" applyFont="1"/>
    <xf numFmtId="0" fontId="25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3" fontId="31" fillId="0" borderId="0" xfId="0" applyNumberFormat="1" applyFont="1"/>
    <xf numFmtId="3" fontId="33" fillId="0" borderId="0" xfId="0" applyNumberFormat="1" applyFont="1" applyFill="1"/>
    <xf numFmtId="3" fontId="32" fillId="0" borderId="0" xfId="0" applyNumberFormat="1" applyFont="1" applyFill="1"/>
    <xf numFmtId="4" fontId="16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9" fillId="4" borderId="0" xfId="0" applyNumberFormat="1" applyFont="1" applyFill="1"/>
    <xf numFmtId="0" fontId="16" fillId="5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0" fontId="39" fillId="5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center" vertical="top" wrapText="1"/>
    </xf>
    <xf numFmtId="49" fontId="16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4" fontId="16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Fill="1" applyBorder="1" applyAlignment="1">
      <alignment wrapText="1"/>
    </xf>
    <xf numFmtId="166" fontId="16" fillId="0" borderId="0" xfId="0" applyNumberFormat="1" applyFont="1" applyFill="1" applyBorder="1" applyAlignment="1">
      <alignment horizontal="right" wrapText="1"/>
    </xf>
    <xf numFmtId="166" fontId="16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/>
    <xf numFmtId="49" fontId="16" fillId="0" borderId="0" xfId="0" applyNumberFormat="1" applyFont="1" applyFill="1"/>
    <xf numFmtId="0" fontId="16" fillId="0" borderId="0" xfId="0" applyFont="1" applyFill="1" applyAlignment="1">
      <alignment vertical="top"/>
    </xf>
    <xf numFmtId="166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7" fillId="0" borderId="0" xfId="0" applyFont="1" applyFill="1" applyAlignment="1" applyProtection="1">
      <alignment horizontal="right" vertical="top"/>
      <protection locked="0"/>
    </xf>
    <xf numFmtId="0" fontId="27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6" fillId="0" borderId="1" xfId="0" applyFont="1" applyFill="1" applyBorder="1"/>
    <xf numFmtId="49" fontId="16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6" fillId="0" borderId="17" xfId="4" applyNumberFormat="1" applyFont="1" applyFill="1" applyAlignment="1" applyProtection="1">
      <alignment horizontal="center" vertical="center"/>
    </xf>
    <xf numFmtId="0" fontId="16" fillId="0" borderId="18" xfId="5" applyNumberFormat="1" applyFont="1" applyFill="1" applyAlignment="1" applyProtection="1">
      <alignment horizontal="left" wrapText="1"/>
    </xf>
    <xf numFmtId="0" fontId="16" fillId="4" borderId="1" xfId="0" applyFont="1" applyFill="1" applyBorder="1" applyAlignment="1" applyProtection="1">
      <alignment vertical="top" wrapText="1"/>
      <protection locked="0"/>
    </xf>
    <xf numFmtId="4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27" fillId="0" borderId="0" xfId="0" applyNumberFormat="1" applyFont="1" applyFill="1" applyProtection="1">
      <protection locked="0"/>
    </xf>
    <xf numFmtId="43" fontId="27" fillId="0" borderId="0" xfId="0" applyNumberFormat="1" applyFont="1" applyFill="1" applyProtection="1">
      <protection locked="0"/>
    </xf>
    <xf numFmtId="4" fontId="27" fillId="0" borderId="0" xfId="0" applyNumberFormat="1" applyFont="1" applyFill="1" applyProtection="1">
      <protection locked="0"/>
    </xf>
    <xf numFmtId="4" fontId="27" fillId="0" borderId="0" xfId="0" applyNumberFormat="1" applyFont="1" applyFill="1"/>
    <xf numFmtId="0" fontId="27" fillId="0" borderId="0" xfId="0" applyFont="1" applyFill="1" applyAlignment="1">
      <alignment horizontal="center" vertical="top"/>
    </xf>
    <xf numFmtId="49" fontId="27" fillId="0" borderId="0" xfId="0" applyNumberFormat="1" applyFont="1" applyFill="1" applyAlignment="1">
      <alignment horizontal="right"/>
    </xf>
    <xf numFmtId="43" fontId="16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6" fillId="0" borderId="1" xfId="1" applyNumberFormat="1" applyFont="1" applyFill="1" applyBorder="1" applyAlignment="1" applyProtection="1">
      <alignment horizontal="center" vertical="top" wrapText="1"/>
    </xf>
    <xf numFmtId="49" fontId="16" fillId="0" borderId="15" xfId="0" applyNumberFormat="1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vertical="top" wrapText="1"/>
    </xf>
    <xf numFmtId="49" fontId="41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horizontal="center" vertical="top" wrapText="1"/>
    </xf>
    <xf numFmtId="43" fontId="16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8" fillId="0" borderId="0" xfId="0" applyFont="1" applyFill="1"/>
    <xf numFmtId="4" fontId="18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top" wrapText="1"/>
    </xf>
    <xf numFmtId="0" fontId="55" fillId="0" borderId="0" xfId="0" applyFont="1"/>
    <xf numFmtId="1" fontId="16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8" fillId="0" borderId="1" xfId="1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6" fillId="0" borderId="0" xfId="0" applyNumberFormat="1" applyFont="1"/>
    <xf numFmtId="0" fontId="8" fillId="0" borderId="6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0" fontId="27" fillId="2" borderId="0" xfId="0" applyFont="1" applyFill="1"/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vertical="top" wrapText="1"/>
    </xf>
    <xf numFmtId="49" fontId="56" fillId="0" borderId="1" xfId="0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>
      <alignment vertical="top" wrapText="1"/>
    </xf>
    <xf numFmtId="43" fontId="20" fillId="0" borderId="1" xfId="1" applyNumberFormat="1" applyFont="1" applyFill="1" applyBorder="1" applyAlignment="1" applyProtection="1">
      <alignment vertical="top" wrapText="1"/>
    </xf>
    <xf numFmtId="49" fontId="18" fillId="0" borderId="1" xfId="1" applyNumberFormat="1" applyFont="1" applyFill="1" applyBorder="1" applyAlignment="1" applyProtection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49" fontId="56" fillId="0" borderId="5" xfId="0" applyNumberFormat="1" applyFont="1" applyFill="1" applyBorder="1" applyAlignment="1">
      <alignment horizontal="center" vertical="top" wrapText="1"/>
    </xf>
    <xf numFmtId="49" fontId="20" fillId="0" borderId="5" xfId="0" applyNumberFormat="1" applyFont="1" applyFill="1" applyBorder="1" applyAlignment="1">
      <alignment horizontal="center" vertical="top" wrapText="1"/>
    </xf>
    <xf numFmtId="43" fontId="20" fillId="0" borderId="5" xfId="0" applyNumberFormat="1" applyFont="1" applyFill="1" applyBorder="1" applyAlignment="1">
      <alignment vertical="top" wrapText="1"/>
    </xf>
    <xf numFmtId="0" fontId="57" fillId="0" borderId="0" xfId="0" applyFont="1"/>
    <xf numFmtId="4" fontId="4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16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7" borderId="1" xfId="0" applyFont="1" applyFill="1" applyBorder="1" applyAlignment="1">
      <alignment vertical="top" wrapText="1"/>
    </xf>
    <xf numFmtId="4" fontId="16" fillId="7" borderId="1" xfId="0" applyNumberFormat="1" applyFont="1" applyFill="1" applyBorder="1" applyAlignment="1">
      <alignment vertical="top" wrapText="1"/>
    </xf>
    <xf numFmtId="0" fontId="16" fillId="7" borderId="0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" fontId="40" fillId="4" borderId="12" xfId="0" applyNumberFormat="1" applyFont="1" applyFill="1" applyBorder="1"/>
    <xf numFmtId="0" fontId="16" fillId="0" borderId="6" xfId="0" applyFont="1" applyBorder="1" applyAlignment="1">
      <alignment horizontal="left" vertical="top" wrapText="1"/>
    </xf>
    <xf numFmtId="4" fontId="16" fillId="7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top" wrapText="1"/>
    </xf>
    <xf numFmtId="4" fontId="8" fillId="10" borderId="1" xfId="0" applyNumberFormat="1" applyFont="1" applyFill="1" applyBorder="1" applyAlignment="1">
      <alignment vertical="top" wrapText="1"/>
    </xf>
    <xf numFmtId="0" fontId="8" fillId="10" borderId="0" xfId="0" applyFont="1" applyFill="1" applyBorder="1" applyAlignment="1">
      <alignment vertical="top" wrapText="1"/>
    </xf>
    <xf numFmtId="4" fontId="40" fillId="0" borderId="0" xfId="0" applyNumberFormat="1" applyFont="1" applyFill="1" applyBorder="1"/>
    <xf numFmtId="0" fontId="16" fillId="10" borderId="1" xfId="0" applyFont="1" applyFill="1" applyBorder="1" applyAlignment="1">
      <alignment vertical="top" wrapText="1"/>
    </xf>
    <xf numFmtId="4" fontId="16" fillId="10" borderId="1" xfId="0" applyNumberFormat="1" applyFont="1" applyFill="1" applyBorder="1" applyAlignment="1">
      <alignment vertical="top" wrapText="1"/>
    </xf>
    <xf numFmtId="0" fontId="16" fillId="10" borderId="0" xfId="0" applyFont="1" applyFill="1" applyBorder="1" applyAlignment="1">
      <alignment vertical="top" wrapText="1"/>
    </xf>
    <xf numFmtId="4" fontId="3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31" fillId="5" borderId="0" xfId="0" applyFont="1" applyFill="1" applyAlignment="1">
      <alignment horizontal="left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5" fillId="0" borderId="19" xfId="0" applyFont="1" applyFill="1" applyBorder="1" applyAlignment="1">
      <alignment horizontal="center" vertical="top" wrapText="1"/>
    </xf>
    <xf numFmtId="0" fontId="25" fillId="0" borderId="20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5" fillId="0" borderId="22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50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350" customWidth="1"/>
    <col min="2" max="2" width="73.5703125" style="461" customWidth="1"/>
    <col min="3" max="3" width="13.42578125" style="461" customWidth="1"/>
    <col min="4" max="4" width="13.42578125" style="515" customWidth="1"/>
    <col min="5" max="5" width="14" style="508" customWidth="1"/>
    <col min="6" max="6" width="14.5703125" style="86" hidden="1" customWidth="1"/>
    <col min="7" max="7" width="5.42578125" style="86" customWidth="1"/>
    <col min="8" max="8" width="12.42578125" style="99" bestFit="1" customWidth="1"/>
    <col min="9" max="9" width="11.42578125" style="99" bestFit="1" customWidth="1"/>
    <col min="10" max="10" width="13" style="99" customWidth="1"/>
    <col min="11" max="14" width="9.140625" style="99"/>
  </cols>
  <sheetData>
    <row r="1" spans="1:14">
      <c r="C1" s="585">
        <v>2021</v>
      </c>
      <c r="D1" s="585"/>
      <c r="E1" s="504">
        <v>2022</v>
      </c>
    </row>
    <row r="2" spans="1:14">
      <c r="C2" s="517" t="s">
        <v>547</v>
      </c>
      <c r="D2" s="518" t="s">
        <v>623</v>
      </c>
      <c r="E2" s="504"/>
    </row>
    <row r="3" spans="1:14" ht="63">
      <c r="B3" s="154" t="s">
        <v>24</v>
      </c>
      <c r="C3" s="154"/>
      <c r="D3" s="519"/>
      <c r="E3" s="345">
        <f>E5+E13+E17+E21+E24+E26+E28+E30+E33+E35</f>
        <v>8431314.0299999993</v>
      </c>
      <c r="F3" s="507"/>
      <c r="G3" s="507"/>
      <c r="H3" s="115"/>
      <c r="I3" s="115"/>
    </row>
    <row r="4" spans="1:14" s="240" customFormat="1">
      <c r="A4" s="508"/>
      <c r="B4" s="154"/>
      <c r="C4" s="154"/>
      <c r="D4" s="519"/>
      <c r="E4" s="345"/>
      <c r="F4" s="509"/>
      <c r="G4" s="510"/>
      <c r="H4" s="509"/>
      <c r="I4" s="509"/>
      <c r="J4" s="509"/>
      <c r="K4" s="509"/>
      <c r="L4" s="509"/>
      <c r="M4" s="509"/>
      <c r="N4" s="509"/>
    </row>
    <row r="5" spans="1:14" s="26" customFormat="1" ht="31.5">
      <c r="A5" s="511"/>
      <c r="B5" s="154" t="s">
        <v>241</v>
      </c>
      <c r="C5" s="435">
        <f>SUM(C6:C11)</f>
        <v>768532</v>
      </c>
      <c r="D5" s="516">
        <f>C5</f>
        <v>768532</v>
      </c>
      <c r="E5" s="433">
        <v>1823820.3</v>
      </c>
      <c r="F5" s="510"/>
      <c r="G5" s="510"/>
      <c r="H5" s="113"/>
      <c r="I5" s="113"/>
      <c r="J5" s="113"/>
      <c r="K5" s="113"/>
      <c r="L5" s="113"/>
      <c r="M5" s="113"/>
      <c r="N5" s="113"/>
    </row>
    <row r="6" spans="1:14" hidden="1">
      <c r="B6" s="154" t="s">
        <v>237</v>
      </c>
      <c r="C6" s="435">
        <v>535384.79</v>
      </c>
      <c r="D6" s="516"/>
      <c r="E6" s="433">
        <f>F6*100/130.2</f>
        <v>558755.99078341015</v>
      </c>
      <c r="F6" s="510">
        <v>727500.3</v>
      </c>
      <c r="G6" s="507"/>
      <c r="H6" s="115"/>
      <c r="I6" s="115"/>
    </row>
    <row r="7" spans="1:14" hidden="1">
      <c r="B7" s="154" t="s">
        <v>238</v>
      </c>
      <c r="C7" s="435">
        <v>161686.21</v>
      </c>
      <c r="D7" s="516"/>
      <c r="E7" s="433">
        <f>F6-E6</f>
        <v>168744.3092165899</v>
      </c>
      <c r="F7" s="507"/>
      <c r="G7" s="507"/>
      <c r="H7" s="114"/>
      <c r="I7" s="115"/>
    </row>
    <row r="8" spans="1:14" hidden="1">
      <c r="B8" s="505" t="s">
        <v>616</v>
      </c>
      <c r="C8" s="435"/>
      <c r="D8" s="516"/>
      <c r="E8" s="433">
        <f>E5-E6-E7</f>
        <v>1096320</v>
      </c>
      <c r="F8" s="507"/>
      <c r="G8" s="507"/>
      <c r="H8" s="114"/>
      <c r="I8" s="115"/>
    </row>
    <row r="9" spans="1:14" hidden="1">
      <c r="B9" s="506" t="s">
        <v>617</v>
      </c>
      <c r="C9" s="435"/>
      <c r="D9" s="516"/>
      <c r="E9" s="433">
        <v>1000000</v>
      </c>
      <c r="F9" s="507"/>
      <c r="G9" s="507"/>
    </row>
    <row r="10" spans="1:14" hidden="1">
      <c r="B10" s="506" t="s">
        <v>618</v>
      </c>
      <c r="C10" s="435">
        <v>71461</v>
      </c>
      <c r="D10" s="516"/>
      <c r="E10" s="433">
        <v>74320</v>
      </c>
      <c r="F10" s="507"/>
      <c r="G10" s="507"/>
    </row>
    <row r="11" spans="1:14" hidden="1">
      <c r="B11" s="506" t="s">
        <v>619</v>
      </c>
      <c r="C11" s="435"/>
      <c r="D11" s="516"/>
      <c r="E11" s="433">
        <v>22000</v>
      </c>
      <c r="F11" s="507"/>
      <c r="G11" s="507"/>
    </row>
    <row r="12" spans="1:14" s="33" customFormat="1" hidden="1">
      <c r="A12" s="461"/>
      <c r="B12" s="154"/>
      <c r="C12" s="435"/>
      <c r="D12" s="516"/>
      <c r="E12" s="433"/>
      <c r="F12" s="507"/>
      <c r="G12" s="507"/>
      <c r="H12" s="86"/>
      <c r="I12" s="86"/>
      <c r="J12" s="86"/>
      <c r="K12" s="86"/>
      <c r="L12" s="86"/>
      <c r="M12" s="86"/>
      <c r="N12" s="86"/>
    </row>
    <row r="13" spans="1:14" s="26" customFormat="1" ht="63">
      <c r="A13" s="511"/>
      <c r="B13" s="154" t="s">
        <v>236</v>
      </c>
      <c r="C13" s="435">
        <v>393061.12</v>
      </c>
      <c r="D13" s="516">
        <f>C13</f>
        <v>393061.12</v>
      </c>
      <c r="E13" s="433">
        <v>485003.25</v>
      </c>
      <c r="F13" s="509"/>
      <c r="G13" s="510"/>
      <c r="H13" s="113"/>
      <c r="I13" s="113"/>
      <c r="J13" s="113"/>
      <c r="K13" s="113"/>
      <c r="L13" s="113"/>
      <c r="M13" s="113"/>
      <c r="N13" s="113"/>
    </row>
    <row r="14" spans="1:14" hidden="1">
      <c r="B14" s="154" t="s">
        <v>237</v>
      </c>
      <c r="C14" s="435">
        <f>C13*100/130.2</f>
        <v>301890.2611367128</v>
      </c>
      <c r="D14" s="516"/>
      <c r="E14" s="433">
        <f>E13*100/130.2</f>
        <v>372506.33640552999</v>
      </c>
      <c r="G14" s="507"/>
    </row>
    <row r="15" spans="1:14" hidden="1">
      <c r="B15" s="154" t="s">
        <v>238</v>
      </c>
      <c r="C15" s="435">
        <f>C13-C14</f>
        <v>91170.858863287198</v>
      </c>
      <c r="D15" s="516"/>
      <c r="E15" s="433">
        <f>E13-E14</f>
        <v>112496.91359447001</v>
      </c>
      <c r="G15" s="507"/>
    </row>
    <row r="16" spans="1:14" s="33" customFormat="1" hidden="1">
      <c r="A16" s="461"/>
      <c r="B16" s="154"/>
      <c r="C16" s="435"/>
      <c r="D16" s="516"/>
      <c r="E16" s="433"/>
      <c r="F16" s="86"/>
      <c r="G16" s="507"/>
      <c r="H16" s="86"/>
      <c r="I16" s="86"/>
      <c r="J16" s="86"/>
      <c r="K16" s="86"/>
      <c r="L16" s="86"/>
      <c r="M16" s="86"/>
      <c r="N16" s="86"/>
    </row>
    <row r="17" spans="1:14" s="26" customFormat="1" ht="94.5">
      <c r="A17" s="511"/>
      <c r="B17" s="154" t="s">
        <v>239</v>
      </c>
      <c r="C17" s="435">
        <v>20687.419999999998</v>
      </c>
      <c r="D17" s="516">
        <f>C17</f>
        <v>20687.419999999998</v>
      </c>
      <c r="E17" s="514">
        <v>25526.48</v>
      </c>
      <c r="F17" s="512"/>
      <c r="G17" s="510"/>
      <c r="H17" s="113"/>
      <c r="I17" s="113"/>
      <c r="J17" s="113"/>
      <c r="K17" s="113"/>
      <c r="L17" s="113"/>
      <c r="M17" s="113"/>
      <c r="N17" s="113"/>
    </row>
    <row r="18" spans="1:14" s="30" customFormat="1" hidden="1">
      <c r="A18" s="350"/>
      <c r="B18" s="154" t="s">
        <v>237</v>
      </c>
      <c r="C18" s="435">
        <f>C17*100/130.2</f>
        <v>15888.955453149001</v>
      </c>
      <c r="D18" s="516"/>
      <c r="E18" s="433">
        <f>E17*100/130.2</f>
        <v>19605.591397849465</v>
      </c>
      <c r="F18" s="513"/>
      <c r="G18" s="507"/>
      <c r="H18" s="99"/>
      <c r="I18" s="99"/>
      <c r="J18" s="99"/>
      <c r="K18" s="99"/>
      <c r="L18" s="99"/>
      <c r="M18" s="99"/>
      <c r="N18" s="99"/>
    </row>
    <row r="19" spans="1:14" s="30" customFormat="1" hidden="1">
      <c r="A19" s="350"/>
      <c r="B19" s="154" t="s">
        <v>238</v>
      </c>
      <c r="C19" s="435">
        <f>C17-C18</f>
        <v>4798.4645468509971</v>
      </c>
      <c r="D19" s="516"/>
      <c r="E19" s="433">
        <f>E17-E18</f>
        <v>5920.888602150535</v>
      </c>
      <c r="F19" s="513"/>
      <c r="G19" s="507"/>
      <c r="H19" s="99"/>
      <c r="I19" s="99"/>
      <c r="J19" s="99"/>
      <c r="K19" s="99"/>
      <c r="L19" s="99"/>
      <c r="M19" s="99"/>
      <c r="N19" s="99"/>
    </row>
    <row r="20" spans="1:14" s="241" customFormat="1" hidden="1">
      <c r="A20" s="461"/>
      <c r="B20" s="154"/>
      <c r="C20" s="435"/>
      <c r="D20" s="516"/>
      <c r="E20" s="433"/>
      <c r="F20" s="513"/>
      <c r="G20" s="507"/>
      <c r="H20" s="86"/>
      <c r="I20" s="86"/>
      <c r="J20" s="86"/>
      <c r="K20" s="86"/>
      <c r="L20" s="86"/>
      <c r="M20" s="86"/>
      <c r="N20" s="86"/>
    </row>
    <row r="21" spans="1:14" s="26" customFormat="1" ht="31.5">
      <c r="A21" s="511"/>
      <c r="B21" s="152" t="s">
        <v>240</v>
      </c>
      <c r="C21" s="435">
        <v>1718000</v>
      </c>
      <c r="D21" s="516">
        <f>C21</f>
        <v>1718000</v>
      </c>
      <c r="E21" s="433">
        <v>2100000</v>
      </c>
      <c r="F21" s="512"/>
      <c r="G21" s="510"/>
      <c r="H21" s="113"/>
      <c r="I21" s="113"/>
      <c r="J21" s="113"/>
      <c r="K21" s="113"/>
      <c r="L21" s="113"/>
      <c r="M21" s="113"/>
      <c r="N21" s="113"/>
    </row>
    <row r="22" spans="1:14" s="240" customFormat="1" hidden="1">
      <c r="A22" s="508"/>
      <c r="B22" s="152"/>
      <c r="C22" s="435"/>
      <c r="D22" s="516"/>
      <c r="E22" s="433"/>
      <c r="F22" s="512"/>
      <c r="G22" s="510"/>
      <c r="H22" s="509"/>
      <c r="I22" s="509"/>
      <c r="J22" s="509"/>
      <c r="K22" s="509"/>
      <c r="L22" s="509"/>
      <c r="M22" s="509"/>
      <c r="N22" s="509"/>
    </row>
    <row r="23" spans="1:14" s="241" customFormat="1">
      <c r="A23" s="461"/>
      <c r="B23" s="154" t="s">
        <v>624</v>
      </c>
      <c r="C23" s="435"/>
      <c r="D23" s="520">
        <v>350690.23</v>
      </c>
      <c r="E23" s="433"/>
      <c r="F23" s="513"/>
      <c r="G23" s="507"/>
      <c r="H23" s="86"/>
      <c r="I23" s="86"/>
      <c r="J23" s="86"/>
      <c r="K23" s="86"/>
      <c r="L23" s="86"/>
      <c r="M23" s="86"/>
      <c r="N23" s="86"/>
    </row>
    <row r="24" spans="1:14" s="26" customFormat="1">
      <c r="A24" s="511"/>
      <c r="B24" s="152" t="s">
        <v>252</v>
      </c>
      <c r="C24" s="435">
        <v>686000</v>
      </c>
      <c r="D24" s="516">
        <v>664511.4</v>
      </c>
      <c r="E24" s="433">
        <v>335000</v>
      </c>
      <c r="F24" s="512"/>
      <c r="G24" s="510"/>
      <c r="H24" s="113"/>
      <c r="I24" s="113"/>
      <c r="J24" s="113"/>
      <c r="K24" s="113"/>
      <c r="L24" s="113"/>
      <c r="M24" s="113"/>
      <c r="N24" s="113"/>
    </row>
    <row r="25" spans="1:14" s="240" customFormat="1" hidden="1">
      <c r="A25" s="508"/>
      <c r="B25" s="152"/>
      <c r="C25" s="435"/>
      <c r="D25" s="516"/>
      <c r="E25" s="433"/>
      <c r="F25" s="512"/>
      <c r="G25" s="510"/>
      <c r="H25" s="509"/>
      <c r="I25" s="509"/>
      <c r="J25" s="509"/>
      <c r="K25" s="509"/>
      <c r="L25" s="509"/>
      <c r="M25" s="509"/>
      <c r="N25" s="509"/>
    </row>
    <row r="26" spans="1:14" s="26" customFormat="1" ht="47.25">
      <c r="A26" s="511"/>
      <c r="B26" s="152" t="s">
        <v>622</v>
      </c>
      <c r="C26" s="435">
        <v>957005</v>
      </c>
      <c r="D26" s="516">
        <v>956792.04</v>
      </c>
      <c r="E26" s="433">
        <v>907005</v>
      </c>
      <c r="F26" s="512"/>
      <c r="G26" s="510"/>
      <c r="H26" s="113"/>
      <c r="I26" s="113"/>
      <c r="J26" s="113"/>
      <c r="K26" s="113"/>
      <c r="L26" s="113"/>
      <c r="M26" s="113"/>
      <c r="N26" s="113"/>
    </row>
    <row r="27" spans="1:14" s="240" customFormat="1" hidden="1">
      <c r="A27" s="508"/>
      <c r="B27" s="152"/>
      <c r="C27" s="435"/>
      <c r="D27" s="516"/>
      <c r="E27" s="433"/>
      <c r="F27" s="512"/>
      <c r="G27" s="510"/>
      <c r="H27" s="509"/>
      <c r="I27" s="509"/>
      <c r="J27" s="509"/>
      <c r="K27" s="509"/>
      <c r="L27" s="509"/>
      <c r="M27" s="509"/>
      <c r="N27" s="509"/>
    </row>
    <row r="28" spans="1:14" s="26" customFormat="1" ht="47.25">
      <c r="A28" s="511"/>
      <c r="B28" s="152" t="s">
        <v>257</v>
      </c>
      <c r="C28" s="435">
        <v>938731</v>
      </c>
      <c r="D28" s="516">
        <v>938699.26</v>
      </c>
      <c r="E28" s="433">
        <v>788731</v>
      </c>
      <c r="F28" s="512"/>
      <c r="G28" s="510"/>
      <c r="H28" s="113"/>
      <c r="I28" s="113"/>
      <c r="J28" s="113"/>
      <c r="K28" s="113"/>
      <c r="L28" s="113"/>
      <c r="M28" s="113"/>
      <c r="N28" s="113"/>
    </row>
    <row r="29" spans="1:14" s="240" customFormat="1" hidden="1">
      <c r="A29" s="508"/>
      <c r="B29" s="152"/>
      <c r="C29" s="435"/>
      <c r="D29" s="516"/>
      <c r="E29" s="433"/>
      <c r="F29" s="512"/>
      <c r="G29" s="510"/>
      <c r="H29" s="509"/>
      <c r="I29" s="509"/>
      <c r="J29" s="509"/>
      <c r="K29" s="509"/>
      <c r="L29" s="509"/>
      <c r="M29" s="509"/>
      <c r="N29" s="509"/>
    </row>
    <row r="30" spans="1:14" s="26" customFormat="1">
      <c r="A30" s="511"/>
      <c r="B30" s="152" t="s">
        <v>375</v>
      </c>
      <c r="C30" s="435">
        <v>472781</v>
      </c>
      <c r="D30" s="516">
        <v>472781</v>
      </c>
      <c r="E30" s="433">
        <v>322781</v>
      </c>
      <c r="F30" s="512"/>
      <c r="G30" s="510"/>
      <c r="H30" s="113"/>
      <c r="I30" s="113"/>
      <c r="J30" s="113"/>
      <c r="K30" s="113"/>
      <c r="L30" s="113"/>
      <c r="M30" s="113"/>
      <c r="N30" s="113"/>
    </row>
    <row r="31" spans="1:14" s="240" customFormat="1" hidden="1">
      <c r="A31" s="508"/>
      <c r="B31" s="152"/>
      <c r="C31" s="435"/>
      <c r="D31" s="516"/>
      <c r="E31" s="433"/>
      <c r="F31" s="512"/>
      <c r="G31" s="510"/>
      <c r="H31" s="509"/>
      <c r="I31" s="509"/>
      <c r="J31" s="509"/>
      <c r="K31" s="509"/>
      <c r="L31" s="509"/>
      <c r="M31" s="509"/>
      <c r="N31" s="509"/>
    </row>
    <row r="32" spans="1:14" s="241" customFormat="1">
      <c r="A32" s="461"/>
      <c r="B32" s="154" t="s">
        <v>624</v>
      </c>
      <c r="C32" s="435"/>
      <c r="D32" s="520">
        <v>37466.44</v>
      </c>
      <c r="E32" s="433"/>
      <c r="F32" s="513"/>
      <c r="G32" s="507"/>
      <c r="H32" s="86"/>
      <c r="I32" s="86"/>
      <c r="J32" s="86"/>
      <c r="K32" s="86"/>
      <c r="L32" s="86"/>
      <c r="M32" s="86"/>
      <c r="N32" s="86"/>
    </row>
    <row r="33" spans="1:14" s="26" customFormat="1">
      <c r="A33" s="511"/>
      <c r="B33" s="152" t="s">
        <v>367</v>
      </c>
      <c r="C33" s="435">
        <v>210000</v>
      </c>
      <c r="D33" s="516">
        <v>210000</v>
      </c>
      <c r="E33" s="514">
        <v>210000</v>
      </c>
      <c r="F33" s="512"/>
      <c r="G33" s="510"/>
      <c r="H33" s="113"/>
      <c r="I33" s="113"/>
      <c r="J33" s="113"/>
      <c r="K33" s="113"/>
      <c r="L33" s="113"/>
      <c r="M33" s="113"/>
      <c r="N33" s="113"/>
    </row>
    <row r="34" spans="1:14" s="240" customFormat="1" hidden="1">
      <c r="A34" s="508"/>
      <c r="B34" s="152"/>
      <c r="C34" s="435"/>
      <c r="D34" s="516"/>
      <c r="E34" s="433"/>
      <c r="F34" s="512"/>
      <c r="G34" s="510"/>
      <c r="H34" s="509"/>
      <c r="I34" s="509"/>
      <c r="J34" s="509"/>
      <c r="K34" s="509"/>
      <c r="L34" s="509"/>
      <c r="M34" s="509"/>
      <c r="N34" s="509"/>
    </row>
    <row r="35" spans="1:14" s="240" customFormat="1">
      <c r="A35" s="508"/>
      <c r="B35" s="152" t="s">
        <v>464</v>
      </c>
      <c r="C35" s="435">
        <v>1767345</v>
      </c>
      <c r="D35" s="516">
        <v>1767339.03</v>
      </c>
      <c r="E35" s="433">
        <v>1433447</v>
      </c>
      <c r="F35" s="512"/>
      <c r="G35" s="510"/>
      <c r="H35" s="509"/>
      <c r="I35" s="509"/>
      <c r="J35" s="509"/>
      <c r="K35" s="509"/>
      <c r="L35" s="509"/>
      <c r="M35" s="509"/>
      <c r="N35" s="509"/>
    </row>
    <row r="36" spans="1:14" s="240" customFormat="1" hidden="1">
      <c r="A36" s="508"/>
      <c r="B36" s="154"/>
      <c r="C36" s="435"/>
      <c r="D36" s="516"/>
      <c r="E36" s="433"/>
      <c r="F36" s="512"/>
      <c r="G36" s="510"/>
      <c r="H36" s="509"/>
      <c r="I36" s="509"/>
      <c r="J36" s="509"/>
      <c r="K36" s="509"/>
      <c r="L36" s="509"/>
      <c r="M36" s="509"/>
      <c r="N36" s="509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20" sqref="B20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425" t="s">
        <v>219</v>
      </c>
    </row>
    <row r="2" spans="1:2" ht="15.75">
      <c r="B2" s="426" t="s">
        <v>33</v>
      </c>
    </row>
    <row r="3" spans="1:2" ht="15.75">
      <c r="B3" s="426" t="s">
        <v>109</v>
      </c>
    </row>
    <row r="4" spans="1:2" ht="15.75">
      <c r="B4" s="426" t="s">
        <v>27</v>
      </c>
    </row>
    <row r="5" spans="1:2" ht="15.75">
      <c r="B5" s="426" t="s">
        <v>28</v>
      </c>
    </row>
    <row r="6" spans="1:2" ht="15.75">
      <c r="B6" s="426" t="s">
        <v>472</v>
      </c>
    </row>
    <row r="7" spans="1:2" ht="15.75">
      <c r="B7" s="23"/>
    </row>
    <row r="8" spans="1:2" ht="36.75" customHeight="1">
      <c r="A8" s="642" t="s">
        <v>588</v>
      </c>
      <c r="B8" s="642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248">
        <v>182</v>
      </c>
      <c r="B12" s="9" t="s">
        <v>36</v>
      </c>
    </row>
    <row r="13" spans="1:2" ht="47.25">
      <c r="A13" s="72" t="s">
        <v>6</v>
      </c>
      <c r="B13" s="50" t="s">
        <v>346</v>
      </c>
    </row>
    <row r="14" spans="1:2" ht="63">
      <c r="A14" s="72" t="s">
        <v>7</v>
      </c>
      <c r="B14" s="50" t="s">
        <v>386</v>
      </c>
    </row>
    <row r="15" spans="1:2" ht="31.5">
      <c r="A15" s="72" t="s">
        <v>8</v>
      </c>
      <c r="B15" s="50" t="s">
        <v>37</v>
      </c>
    </row>
    <row r="16" spans="1:2" ht="15.75">
      <c r="A16" s="72" t="s">
        <v>333</v>
      </c>
      <c r="B16" s="50" t="s">
        <v>334</v>
      </c>
    </row>
    <row r="17" spans="1:5" ht="31.5">
      <c r="A17" s="72" t="s">
        <v>11</v>
      </c>
      <c r="B17" s="50" t="s">
        <v>26</v>
      </c>
    </row>
    <row r="18" spans="1:5" ht="31.5">
      <c r="A18" s="72" t="s">
        <v>13</v>
      </c>
      <c r="B18" s="50" t="s">
        <v>14</v>
      </c>
    </row>
    <row r="19" spans="1:5" ht="31.5">
      <c r="A19" s="72" t="s">
        <v>15</v>
      </c>
      <c r="B19" s="50" t="s">
        <v>16</v>
      </c>
    </row>
    <row r="20" spans="1:5" ht="31.5">
      <c r="A20" s="248">
        <v>923</v>
      </c>
      <c r="B20" s="8" t="s">
        <v>120</v>
      </c>
    </row>
    <row r="21" spans="1:5" ht="47.25">
      <c r="A21" s="72" t="s">
        <v>110</v>
      </c>
      <c r="B21" s="50" t="s">
        <v>150</v>
      </c>
    </row>
    <row r="22" spans="1:5" ht="47.25">
      <c r="A22" s="72" t="s">
        <v>111</v>
      </c>
      <c r="B22" s="72" t="s">
        <v>347</v>
      </c>
    </row>
    <row r="23" spans="1:5" ht="15.75">
      <c r="A23" s="72" t="s">
        <v>422</v>
      </c>
      <c r="B23" s="50" t="s">
        <v>112</v>
      </c>
    </row>
    <row r="24" spans="1:5" ht="51" customHeight="1">
      <c r="A24" s="72" t="s">
        <v>113</v>
      </c>
      <c r="B24" s="50" t="s">
        <v>349</v>
      </c>
    </row>
    <row r="25" spans="1:5" ht="31.5">
      <c r="A25" s="72" t="s">
        <v>114</v>
      </c>
      <c r="B25" s="50" t="s">
        <v>115</v>
      </c>
    </row>
    <row r="26" spans="1:5" s="153" customFormat="1" ht="15.75">
      <c r="A26" s="184" t="s">
        <v>151</v>
      </c>
      <c r="B26" s="188" t="s">
        <v>38</v>
      </c>
    </row>
    <row r="27" spans="1:5" s="153" customFormat="1" ht="15.75">
      <c r="A27" s="249" t="s">
        <v>121</v>
      </c>
      <c r="B27" s="189" t="s">
        <v>31</v>
      </c>
    </row>
    <row r="28" spans="1:5" s="153" customFormat="1" ht="47.25">
      <c r="A28" s="184" t="s">
        <v>421</v>
      </c>
      <c r="B28" s="185" t="s">
        <v>420</v>
      </c>
      <c r="E28" s="187"/>
    </row>
    <row r="29" spans="1:5" s="153" customFormat="1" ht="47.25" customHeight="1">
      <c r="A29" s="184" t="s">
        <v>419</v>
      </c>
      <c r="B29" s="186" t="s">
        <v>418</v>
      </c>
    </row>
    <row r="30" spans="1:5" ht="15.75">
      <c r="A30" s="72" t="s">
        <v>395</v>
      </c>
      <c r="B30" s="50" t="s">
        <v>21</v>
      </c>
    </row>
    <row r="31" spans="1:5" ht="15.75">
      <c r="A31" s="191" t="s">
        <v>398</v>
      </c>
      <c r="B31" s="50" t="s">
        <v>108</v>
      </c>
    </row>
    <row r="32" spans="1:5" ht="15.75">
      <c r="A32" s="250" t="s">
        <v>402</v>
      </c>
      <c r="B32" s="58" t="s">
        <v>23</v>
      </c>
    </row>
    <row r="33" spans="1:2" ht="31.5">
      <c r="A33" s="72" t="s">
        <v>406</v>
      </c>
      <c r="B33" s="50" t="s">
        <v>22</v>
      </c>
    </row>
    <row r="34" spans="1:2" ht="31.5">
      <c r="A34" s="251" t="s">
        <v>407</v>
      </c>
      <c r="B34" s="148" t="s">
        <v>344</v>
      </c>
    </row>
    <row r="35" spans="1:2" s="153" customFormat="1" ht="47.25">
      <c r="A35" s="184" t="s">
        <v>417</v>
      </c>
      <c r="B35" s="185" t="s">
        <v>416</v>
      </c>
    </row>
    <row r="36" spans="1:2" ht="47.25">
      <c r="A36" s="72" t="s">
        <v>408</v>
      </c>
      <c r="B36" s="50" t="s">
        <v>24</v>
      </c>
    </row>
    <row r="37" spans="1:2" ht="31.5">
      <c r="A37" s="252" t="s">
        <v>415</v>
      </c>
      <c r="B37" s="74" t="s">
        <v>225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7" workbookViewId="0">
      <selection activeCell="C13" sqref="C13"/>
    </sheetView>
  </sheetViews>
  <sheetFormatPr defaultRowHeight="15"/>
  <cols>
    <col min="1" max="1" width="28.140625" style="33" customWidth="1"/>
    <col min="2" max="2" width="44.28515625" style="33" customWidth="1"/>
    <col min="3" max="5" width="15.85546875" style="33" customWidth="1"/>
  </cols>
  <sheetData>
    <row r="1" spans="1:5" ht="15.75">
      <c r="B1" s="78"/>
      <c r="C1" s="643" t="s">
        <v>219</v>
      </c>
      <c r="D1" s="643"/>
      <c r="E1" s="643"/>
    </row>
    <row r="2" spans="1:5" ht="15.75">
      <c r="C2" s="641" t="s">
        <v>33</v>
      </c>
      <c r="D2" s="641"/>
      <c r="E2" s="641"/>
    </row>
    <row r="3" spans="1:5" ht="15.75">
      <c r="C3" s="641" t="s">
        <v>109</v>
      </c>
      <c r="D3" s="641"/>
      <c r="E3" s="641"/>
    </row>
    <row r="4" spans="1:5" ht="15.75">
      <c r="C4" s="641" t="s">
        <v>27</v>
      </c>
      <c r="D4" s="641"/>
      <c r="E4" s="641"/>
    </row>
    <row r="5" spans="1:5" ht="15.75">
      <c r="C5" s="641" t="s">
        <v>28</v>
      </c>
      <c r="D5" s="641"/>
      <c r="E5" s="641"/>
    </row>
    <row r="6" spans="1:5" ht="15.75">
      <c r="C6" s="588" t="s">
        <v>620</v>
      </c>
      <c r="D6" s="588"/>
      <c r="E6" s="588"/>
    </row>
    <row r="7" spans="1:5" ht="15.75">
      <c r="B7" s="68"/>
    </row>
    <row r="8" spans="1:5" ht="30" customHeight="1">
      <c r="A8" s="589" t="s">
        <v>589</v>
      </c>
      <c r="B8" s="589"/>
      <c r="C8" s="589"/>
      <c r="D8" s="589"/>
      <c r="E8" s="589"/>
    </row>
    <row r="10" spans="1:5" ht="63">
      <c r="A10" s="36" t="s">
        <v>40</v>
      </c>
      <c r="B10" s="36" t="s">
        <v>41</v>
      </c>
      <c r="C10" s="634" t="s">
        <v>42</v>
      </c>
      <c r="D10" s="635"/>
      <c r="E10" s="636"/>
    </row>
    <row r="11" spans="1:5" ht="21" customHeight="1">
      <c r="A11" s="634"/>
      <c r="B11" s="636"/>
      <c r="C11" s="61" t="s">
        <v>382</v>
      </c>
      <c r="D11" s="61" t="s">
        <v>471</v>
      </c>
      <c r="E11" s="61" t="s">
        <v>584</v>
      </c>
    </row>
    <row r="12" spans="1:5" ht="47.25">
      <c r="A12" s="257" t="s">
        <v>43</v>
      </c>
      <c r="B12" s="191" t="s">
        <v>435</v>
      </c>
      <c r="C12" s="53">
        <f>C19+C14</f>
        <v>2353302.8200000003</v>
      </c>
      <c r="D12" s="53">
        <f>D19+D14</f>
        <v>0</v>
      </c>
      <c r="E12" s="53">
        <f>E19+E14</f>
        <v>0</v>
      </c>
    </row>
    <row r="13" spans="1:5" ht="31.5">
      <c r="A13" s="182" t="s">
        <v>44</v>
      </c>
      <c r="B13" s="191" t="s">
        <v>432</v>
      </c>
      <c r="C13" s="53">
        <f>C23+C18</f>
        <v>2353302.8200000003</v>
      </c>
      <c r="D13" s="53">
        <f>D23+D18</f>
        <v>0</v>
      </c>
      <c r="E13" s="53">
        <f>E23+E18</f>
        <v>0</v>
      </c>
    </row>
    <row r="14" spans="1:5" ht="31.5">
      <c r="A14" s="182" t="s">
        <v>45</v>
      </c>
      <c r="B14" s="191" t="s">
        <v>436</v>
      </c>
      <c r="C14" s="53">
        <f t="shared" ref="C14:E17" si="0">C15</f>
        <v>-28984760.609999999</v>
      </c>
      <c r="D14" s="53">
        <f t="shared" si="0"/>
        <v>-18235000</v>
      </c>
      <c r="E14" s="53">
        <f t="shared" si="0"/>
        <v>-12186900</v>
      </c>
    </row>
    <row r="15" spans="1:5" ht="31.5">
      <c r="A15" s="182" t="s">
        <v>46</v>
      </c>
      <c r="B15" s="191" t="s">
        <v>47</v>
      </c>
      <c r="C15" s="53">
        <f t="shared" si="0"/>
        <v>-28984760.609999999</v>
      </c>
      <c r="D15" s="53">
        <f t="shared" si="0"/>
        <v>-18235000</v>
      </c>
      <c r="E15" s="53">
        <f t="shared" si="0"/>
        <v>-12186900</v>
      </c>
    </row>
    <row r="16" spans="1:5" ht="31.5">
      <c r="A16" s="182" t="s">
        <v>48</v>
      </c>
      <c r="B16" s="191" t="s">
        <v>49</v>
      </c>
      <c r="C16" s="53">
        <f t="shared" si="0"/>
        <v>-28984760.609999999</v>
      </c>
      <c r="D16" s="53">
        <f t="shared" si="0"/>
        <v>-18235000</v>
      </c>
      <c r="E16" s="53">
        <f t="shared" si="0"/>
        <v>-12186900</v>
      </c>
    </row>
    <row r="17" spans="1:5" ht="31.5">
      <c r="A17" s="182" t="s">
        <v>437</v>
      </c>
      <c r="B17" s="191" t="s">
        <v>50</v>
      </c>
      <c r="C17" s="53">
        <f t="shared" si="0"/>
        <v>-28984760.609999999</v>
      </c>
      <c r="D17" s="53">
        <f t="shared" si="0"/>
        <v>-18235000</v>
      </c>
      <c r="E17" s="53">
        <f t="shared" si="0"/>
        <v>-12186900</v>
      </c>
    </row>
    <row r="18" spans="1:5" ht="31.5">
      <c r="A18" s="182" t="s">
        <v>199</v>
      </c>
      <c r="B18" s="191" t="s">
        <v>50</v>
      </c>
      <c r="C18" s="53">
        <f>-'Пр. 2'!C102</f>
        <v>-28984760.609999999</v>
      </c>
      <c r="D18" s="53">
        <f>-'Пр. 2'!D102</f>
        <v>-18235000</v>
      </c>
      <c r="E18" s="53">
        <f>-'Пр. 2'!E102</f>
        <v>-12186900</v>
      </c>
    </row>
    <row r="19" spans="1:5" ht="31.5">
      <c r="A19" s="182" t="s">
        <v>51</v>
      </c>
      <c r="B19" s="191" t="s">
        <v>52</v>
      </c>
      <c r="C19" s="53">
        <f t="shared" ref="C19:E22" si="1">C20</f>
        <v>31338063.43</v>
      </c>
      <c r="D19" s="53">
        <f t="shared" si="1"/>
        <v>18235000</v>
      </c>
      <c r="E19" s="53">
        <f t="shared" si="1"/>
        <v>12186900</v>
      </c>
    </row>
    <row r="20" spans="1:5" ht="31.5">
      <c r="A20" s="182" t="s">
        <v>53</v>
      </c>
      <c r="B20" s="191" t="s">
        <v>54</v>
      </c>
      <c r="C20" s="53">
        <f t="shared" si="1"/>
        <v>31338063.43</v>
      </c>
      <c r="D20" s="53">
        <f t="shared" si="1"/>
        <v>18235000</v>
      </c>
      <c r="E20" s="53">
        <f t="shared" si="1"/>
        <v>12186900</v>
      </c>
    </row>
    <row r="21" spans="1:5" ht="31.5">
      <c r="A21" s="182" t="s">
        <v>55</v>
      </c>
      <c r="B21" s="191" t="s">
        <v>56</v>
      </c>
      <c r="C21" s="53">
        <f t="shared" si="1"/>
        <v>31338063.43</v>
      </c>
      <c r="D21" s="53">
        <f t="shared" si="1"/>
        <v>18235000</v>
      </c>
      <c r="E21" s="53">
        <f t="shared" si="1"/>
        <v>12186900</v>
      </c>
    </row>
    <row r="22" spans="1:5" ht="31.5">
      <c r="A22" s="182" t="s">
        <v>438</v>
      </c>
      <c r="B22" s="191" t="s">
        <v>57</v>
      </c>
      <c r="C22" s="53">
        <f t="shared" si="1"/>
        <v>31338063.43</v>
      </c>
      <c r="D22" s="53">
        <f t="shared" si="1"/>
        <v>18235000</v>
      </c>
      <c r="E22" s="53">
        <f t="shared" si="1"/>
        <v>12186900</v>
      </c>
    </row>
    <row r="23" spans="1:5" ht="31.5">
      <c r="A23" s="182" t="s">
        <v>200</v>
      </c>
      <c r="B23" s="191" t="s">
        <v>57</v>
      </c>
      <c r="C23" s="53">
        <f>'Пр. 7'!G91</f>
        <v>31338063.43</v>
      </c>
      <c r="D23" s="53">
        <f>Пр.8!G75+у.у!A12</f>
        <v>18235000</v>
      </c>
      <c r="E23" s="53">
        <f>Пр.8!H75+у.у!B12</f>
        <v>12186900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4" sqref="D14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3" customWidth="1"/>
    <col min="5" max="5" width="15" customWidth="1"/>
    <col min="6" max="6" width="16" customWidth="1"/>
  </cols>
  <sheetData>
    <row r="1" spans="1:6" ht="15.75">
      <c r="E1" s="651" t="s">
        <v>128</v>
      </c>
      <c r="F1" s="651"/>
    </row>
    <row r="2" spans="1:6" ht="15.75">
      <c r="E2" s="652" t="s">
        <v>33</v>
      </c>
      <c r="F2" s="652"/>
    </row>
    <row r="3" spans="1:6" ht="15.75">
      <c r="E3" s="652" t="s">
        <v>109</v>
      </c>
      <c r="F3" s="652"/>
    </row>
    <row r="4" spans="1:6" ht="15.75">
      <c r="E4" s="652" t="s">
        <v>27</v>
      </c>
      <c r="F4" s="652"/>
    </row>
    <row r="5" spans="1:6" ht="15" customHeight="1">
      <c r="E5" s="652" t="s">
        <v>28</v>
      </c>
      <c r="F5" s="652"/>
    </row>
    <row r="6" spans="1:6" ht="15.75">
      <c r="E6" s="652" t="s">
        <v>472</v>
      </c>
      <c r="F6" s="652"/>
    </row>
    <row r="7" spans="1:6" ht="15.75">
      <c r="D7" s="68"/>
      <c r="E7" s="54"/>
      <c r="F7" s="54"/>
    </row>
    <row r="8" spans="1:6" ht="69" customHeight="1">
      <c r="A8" s="648" t="s">
        <v>590</v>
      </c>
      <c r="B8" s="649"/>
      <c r="C8" s="649"/>
      <c r="D8" s="649"/>
      <c r="E8" s="650"/>
      <c r="F8" s="650"/>
    </row>
    <row r="10" spans="1:6" ht="34.5" customHeight="1">
      <c r="A10" s="644" t="s">
        <v>40</v>
      </c>
      <c r="B10" s="644"/>
      <c r="C10" s="644" t="s">
        <v>58</v>
      </c>
      <c r="D10" s="645" t="s">
        <v>42</v>
      </c>
      <c r="E10" s="646"/>
      <c r="F10" s="647"/>
    </row>
    <row r="11" spans="1:6" ht="94.5">
      <c r="A11" s="3" t="s">
        <v>63</v>
      </c>
      <c r="B11" s="15" t="s">
        <v>59</v>
      </c>
      <c r="C11" s="644"/>
      <c r="D11" s="61" t="s">
        <v>382</v>
      </c>
      <c r="E11" s="61" t="s">
        <v>471</v>
      </c>
      <c r="F11" s="61" t="s">
        <v>584</v>
      </c>
    </row>
    <row r="12" spans="1:6" ht="15.75">
      <c r="A12" s="2">
        <v>1</v>
      </c>
      <c r="B12" s="2">
        <v>2</v>
      </c>
      <c r="C12" s="2">
        <v>3</v>
      </c>
      <c r="D12" s="79">
        <v>4</v>
      </c>
      <c r="E12" s="13"/>
      <c r="F12" s="13"/>
    </row>
    <row r="13" spans="1:6" ht="63">
      <c r="A13" s="15">
        <v>923</v>
      </c>
      <c r="B13" s="6"/>
      <c r="C13" s="190" t="s">
        <v>120</v>
      </c>
      <c r="D13" s="80"/>
      <c r="E13" s="19"/>
      <c r="F13" s="19"/>
    </row>
    <row r="14" spans="1:6" ht="47.25">
      <c r="A14" s="183">
        <v>923</v>
      </c>
      <c r="B14" s="15" t="s">
        <v>60</v>
      </c>
      <c r="C14" s="190" t="s">
        <v>432</v>
      </c>
      <c r="D14" s="63">
        <f>D15+D16</f>
        <v>2353302.8200000003</v>
      </c>
      <c r="E14" s="17">
        <f>E15+E16</f>
        <v>0</v>
      </c>
      <c r="F14" s="17">
        <f>F15+F16</f>
        <v>0</v>
      </c>
    </row>
    <row r="15" spans="1:6" ht="50.25" customHeight="1">
      <c r="A15" s="183">
        <v>923</v>
      </c>
      <c r="B15" s="183" t="s">
        <v>61</v>
      </c>
      <c r="C15" s="10" t="s">
        <v>433</v>
      </c>
      <c r="D15" s="81">
        <f>'Пр. 4'!C14</f>
        <v>-28984760.609999999</v>
      </c>
      <c r="E15" s="18">
        <f>'Пр. 4'!D14</f>
        <v>-18235000</v>
      </c>
      <c r="F15" s="18">
        <f>'Пр. 4'!E14</f>
        <v>-12186900</v>
      </c>
    </row>
    <row r="16" spans="1:6" ht="49.5" customHeight="1">
      <c r="A16" s="183">
        <v>923</v>
      </c>
      <c r="B16" s="183" t="s">
        <v>62</v>
      </c>
      <c r="C16" s="10" t="s">
        <v>434</v>
      </c>
      <c r="D16" s="81">
        <f>'Пр. 4'!C19</f>
        <v>31338063.43</v>
      </c>
      <c r="E16" s="18">
        <f>'Пр. 4'!D19</f>
        <v>18235000</v>
      </c>
      <c r="F16" s="18">
        <f>'Пр. 4'!E19</f>
        <v>12186900</v>
      </c>
    </row>
    <row r="19" spans="4:6">
      <c r="D19" s="164"/>
      <c r="E19" s="31"/>
      <c r="F19" s="31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topLeftCell="A67" workbookViewId="0">
      <selection activeCell="B19" sqref="B19"/>
    </sheetView>
  </sheetViews>
  <sheetFormatPr defaultRowHeight="15"/>
  <cols>
    <col min="1" max="1" width="76.140625" style="303" customWidth="1"/>
    <col min="2" max="2" width="11.42578125" style="488" customWidth="1"/>
    <col min="3" max="3" width="17" style="381" customWidth="1"/>
    <col min="4" max="4" width="12.7109375" style="299" customWidth="1"/>
    <col min="5" max="5" width="17.7109375" style="299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587" t="s">
        <v>220</v>
      </c>
      <c r="D1" s="587"/>
      <c r="E1" s="587"/>
    </row>
    <row r="2" spans="1:5" ht="15.75">
      <c r="C2" s="588" t="s">
        <v>33</v>
      </c>
      <c r="D2" s="588"/>
      <c r="E2" s="588"/>
    </row>
    <row r="3" spans="1:5" ht="15.75">
      <c r="C3" s="588" t="s">
        <v>109</v>
      </c>
      <c r="D3" s="588"/>
      <c r="E3" s="588"/>
    </row>
    <row r="4" spans="1:5" ht="15.75">
      <c r="C4" s="588" t="s">
        <v>27</v>
      </c>
      <c r="D4" s="588"/>
      <c r="E4" s="588"/>
    </row>
    <row r="5" spans="1:5" ht="15.75">
      <c r="C5" s="588" t="s">
        <v>28</v>
      </c>
      <c r="D5" s="588"/>
      <c r="E5" s="588"/>
    </row>
    <row r="6" spans="1:5" ht="15.75">
      <c r="C6" s="631" t="s">
        <v>620</v>
      </c>
      <c r="D6" s="631"/>
      <c r="E6" s="631"/>
    </row>
    <row r="7" spans="1:5">
      <c r="C7" s="489"/>
      <c r="D7" s="298"/>
      <c r="E7" s="298"/>
    </row>
    <row r="8" spans="1:5" ht="52.5" customHeight="1">
      <c r="A8" s="586" t="s">
        <v>591</v>
      </c>
      <c r="B8" s="586"/>
      <c r="C8" s="586"/>
      <c r="D8" s="586"/>
      <c r="E8" s="586"/>
    </row>
    <row r="10" spans="1:5" ht="31.5">
      <c r="A10" s="428" t="s">
        <v>34</v>
      </c>
      <c r="B10" s="428" t="s">
        <v>130</v>
      </c>
      <c r="C10" s="149" t="s">
        <v>64</v>
      </c>
      <c r="D10" s="428" t="s">
        <v>65</v>
      </c>
      <c r="E10" s="428" t="s">
        <v>42</v>
      </c>
    </row>
    <row r="11" spans="1:5" ht="15.75">
      <c r="C11" s="149"/>
      <c r="D11" s="428"/>
      <c r="E11" s="428" t="s">
        <v>382</v>
      </c>
    </row>
    <row r="12" spans="1:5" ht="31.5">
      <c r="A12" s="547" t="s">
        <v>612</v>
      </c>
      <c r="B12" s="548"/>
      <c r="C12" s="549" t="s">
        <v>201</v>
      </c>
      <c r="D12" s="548"/>
      <c r="E12" s="283">
        <f>E88-E86</f>
        <v>31338063.43</v>
      </c>
    </row>
    <row r="13" spans="1:5" s="25" customFormat="1" ht="56.25">
      <c r="A13" s="550" t="s">
        <v>644</v>
      </c>
      <c r="B13" s="551"/>
      <c r="C13" s="549" t="s">
        <v>270</v>
      </c>
      <c r="D13" s="548"/>
      <c r="E13" s="283">
        <f>E14+E19+E23+E26+E28+E30+E33+E36+E38</f>
        <v>10435531.75</v>
      </c>
    </row>
    <row r="14" spans="1:5" ht="31.5">
      <c r="A14" s="152" t="s">
        <v>263</v>
      </c>
      <c r="B14" s="149"/>
      <c r="C14" s="149" t="s">
        <v>337</v>
      </c>
      <c r="D14" s="428"/>
      <c r="E14" s="300">
        <f>E15+E16+E17+E18</f>
        <v>6326000</v>
      </c>
    </row>
    <row r="15" spans="1:5" ht="78.75">
      <c r="A15" s="519" t="s">
        <v>207</v>
      </c>
      <c r="B15" s="91" t="s">
        <v>131</v>
      </c>
      <c r="C15" s="91" t="s">
        <v>271</v>
      </c>
      <c r="D15" s="95">
        <v>100</v>
      </c>
      <c r="E15" s="552">
        <f>'Пр. 7'!G15</f>
        <v>1091000</v>
      </c>
    </row>
    <row r="16" spans="1:5" ht="78.75">
      <c r="A16" s="519" t="s">
        <v>208</v>
      </c>
      <c r="B16" s="91" t="s">
        <v>132</v>
      </c>
      <c r="C16" s="91" t="s">
        <v>272</v>
      </c>
      <c r="D16" s="95">
        <v>100</v>
      </c>
      <c r="E16" s="552">
        <f>'Пр. 7'!G18</f>
        <v>3930000</v>
      </c>
    </row>
    <row r="17" spans="1:5" ht="31.5">
      <c r="A17" s="154" t="s">
        <v>502</v>
      </c>
      <c r="B17" s="96" t="s">
        <v>132</v>
      </c>
      <c r="C17" s="96" t="s">
        <v>272</v>
      </c>
      <c r="D17" s="151">
        <v>200</v>
      </c>
      <c r="E17" s="490">
        <f>'Пр. 7'!G19</f>
        <v>1280000</v>
      </c>
    </row>
    <row r="18" spans="1:5" ht="31.5">
      <c r="A18" s="154" t="s">
        <v>209</v>
      </c>
      <c r="B18" s="96" t="s">
        <v>132</v>
      </c>
      <c r="C18" s="96" t="s">
        <v>272</v>
      </c>
      <c r="D18" s="151">
        <v>800</v>
      </c>
      <c r="E18" s="490">
        <f>'Пр. 7'!G20</f>
        <v>25000</v>
      </c>
    </row>
    <row r="19" spans="1:5" s="98" customFormat="1" ht="31.5">
      <c r="A19" s="152" t="s">
        <v>264</v>
      </c>
      <c r="B19" s="149"/>
      <c r="C19" s="149" t="s">
        <v>338</v>
      </c>
      <c r="D19" s="428"/>
      <c r="E19" s="300">
        <f>E20+E21+E22</f>
        <v>110000</v>
      </c>
    </row>
    <row r="20" spans="1:5" s="98" customFormat="1" ht="63">
      <c r="A20" s="519" t="s">
        <v>503</v>
      </c>
      <c r="B20" s="91" t="s">
        <v>136</v>
      </c>
      <c r="C20" s="91" t="s">
        <v>273</v>
      </c>
      <c r="D20" s="95">
        <v>200</v>
      </c>
      <c r="E20" s="552">
        <f>'Пр. 7'!G26</f>
        <v>50000</v>
      </c>
    </row>
    <row r="21" spans="1:5" s="98" customFormat="1" ht="47.25">
      <c r="A21" s="519" t="s">
        <v>504</v>
      </c>
      <c r="B21" s="91" t="s">
        <v>136</v>
      </c>
      <c r="C21" s="91" t="s">
        <v>274</v>
      </c>
      <c r="D21" s="95">
        <v>200</v>
      </c>
      <c r="E21" s="552">
        <f>'Пр. 7'!G27</f>
        <v>60000</v>
      </c>
    </row>
    <row r="22" spans="1:5" s="98" customFormat="1" ht="63">
      <c r="A22" s="154" t="s">
        <v>544</v>
      </c>
      <c r="B22" s="96" t="s">
        <v>539</v>
      </c>
      <c r="C22" s="96" t="s">
        <v>545</v>
      </c>
      <c r="D22" s="151">
        <v>200</v>
      </c>
      <c r="E22" s="490">
        <f>'Пр. 7'!G41</f>
        <v>0</v>
      </c>
    </row>
    <row r="23" spans="1:5" ht="31.5">
      <c r="A23" s="152" t="s">
        <v>265</v>
      </c>
      <c r="B23" s="149"/>
      <c r="C23" s="149" t="s">
        <v>339</v>
      </c>
      <c r="D23" s="428"/>
      <c r="E23" s="300">
        <f>E24+E25</f>
        <v>252675</v>
      </c>
    </row>
    <row r="24" spans="1:5" ht="78.75">
      <c r="A24" s="154" t="s">
        <v>211</v>
      </c>
      <c r="B24" s="96" t="s">
        <v>137</v>
      </c>
      <c r="C24" s="96" t="s">
        <v>275</v>
      </c>
      <c r="D24" s="151">
        <v>100</v>
      </c>
      <c r="E24" s="490">
        <f>'Пр. 7'!G32</f>
        <v>221000</v>
      </c>
    </row>
    <row r="25" spans="1:5" ht="47.25">
      <c r="A25" s="154" t="s">
        <v>505</v>
      </c>
      <c r="B25" s="96" t="s">
        <v>137</v>
      </c>
      <c r="C25" s="96" t="s">
        <v>275</v>
      </c>
      <c r="D25" s="151">
        <v>200</v>
      </c>
      <c r="E25" s="490">
        <f>'Пр. 7'!G33</f>
        <v>31675</v>
      </c>
    </row>
    <row r="26" spans="1:5" ht="31.5">
      <c r="A26" s="152" t="s">
        <v>266</v>
      </c>
      <c r="B26" s="149"/>
      <c r="C26" s="149" t="s">
        <v>340</v>
      </c>
      <c r="D26" s="428"/>
      <c r="E26" s="300">
        <f>E27</f>
        <v>0</v>
      </c>
    </row>
    <row r="27" spans="1:5" ht="63">
      <c r="A27" s="154" t="s">
        <v>210</v>
      </c>
      <c r="B27" s="96" t="s">
        <v>135</v>
      </c>
      <c r="C27" s="96" t="s">
        <v>276</v>
      </c>
      <c r="D27" s="151">
        <v>500</v>
      </c>
      <c r="E27" s="301">
        <f>'Пр. 7'!G22</f>
        <v>0</v>
      </c>
    </row>
    <row r="28" spans="1:5" ht="31.5">
      <c r="A28" s="152" t="s">
        <v>267</v>
      </c>
      <c r="B28" s="149"/>
      <c r="C28" s="149" t="s">
        <v>341</v>
      </c>
      <c r="D28" s="428"/>
      <c r="E28" s="300">
        <f>E29</f>
        <v>230000</v>
      </c>
    </row>
    <row r="29" spans="1:5" ht="37.5" customHeight="1">
      <c r="A29" s="154" t="s">
        <v>212</v>
      </c>
      <c r="B29" s="96" t="s">
        <v>144</v>
      </c>
      <c r="C29" s="96" t="s">
        <v>300</v>
      </c>
      <c r="D29" s="151">
        <v>300</v>
      </c>
      <c r="E29" s="301">
        <f>'Пр. 7'!G64</f>
        <v>230000</v>
      </c>
    </row>
    <row r="30" spans="1:5" ht="31.5">
      <c r="A30" s="152" t="s">
        <v>268</v>
      </c>
      <c r="B30" s="149"/>
      <c r="C30" s="149" t="s">
        <v>342</v>
      </c>
      <c r="D30" s="428"/>
      <c r="E30" s="300">
        <f>E31+E32</f>
        <v>2445736</v>
      </c>
    </row>
    <row r="31" spans="1:5" ht="94.5">
      <c r="A31" s="169" t="s">
        <v>519</v>
      </c>
      <c r="B31" s="160" t="s">
        <v>261</v>
      </c>
      <c r="C31" s="96" t="s">
        <v>277</v>
      </c>
      <c r="D31" s="151">
        <v>200</v>
      </c>
      <c r="E31" s="302">
        <f>'Пр. 7'!G45</f>
        <v>1507005</v>
      </c>
    </row>
    <row r="32" spans="1:5" ht="47.25">
      <c r="A32" s="169" t="s">
        <v>520</v>
      </c>
      <c r="B32" s="160" t="s">
        <v>261</v>
      </c>
      <c r="C32" s="96" t="s">
        <v>278</v>
      </c>
      <c r="D32" s="151">
        <v>200</v>
      </c>
      <c r="E32" s="302">
        <f>'Пр. 7'!G46</f>
        <v>938731</v>
      </c>
    </row>
    <row r="33" spans="1:5" ht="31.5">
      <c r="A33" s="152" t="s">
        <v>491</v>
      </c>
      <c r="B33" s="149" t="s">
        <v>487</v>
      </c>
      <c r="C33" s="149" t="s">
        <v>492</v>
      </c>
      <c r="D33" s="300"/>
      <c r="E33" s="491">
        <f>E34+E35</f>
        <v>100000</v>
      </c>
    </row>
    <row r="34" spans="1:5" ht="63">
      <c r="A34" s="169" t="s">
        <v>506</v>
      </c>
      <c r="B34" s="96" t="s">
        <v>487</v>
      </c>
      <c r="C34" s="96" t="s">
        <v>490</v>
      </c>
      <c r="D34" s="492">
        <v>200</v>
      </c>
      <c r="E34" s="302">
        <f>'Пр. 7'!G48</f>
        <v>100000</v>
      </c>
    </row>
    <row r="35" spans="1:5" ht="47.25">
      <c r="A35" s="169" t="s">
        <v>551</v>
      </c>
      <c r="B35" s="96" t="s">
        <v>136</v>
      </c>
      <c r="C35" s="96" t="s">
        <v>552</v>
      </c>
      <c r="D35" s="492">
        <v>200</v>
      </c>
      <c r="E35" s="302">
        <f>'Пр. 7'!G29</f>
        <v>0</v>
      </c>
    </row>
    <row r="36" spans="1:5" ht="31.5">
      <c r="A36" s="152" t="s">
        <v>564</v>
      </c>
      <c r="B36" s="149" t="s">
        <v>559</v>
      </c>
      <c r="C36" s="149" t="s">
        <v>563</v>
      </c>
      <c r="D36" s="300"/>
      <c r="E36" s="491">
        <f>E37</f>
        <v>0</v>
      </c>
    </row>
    <row r="37" spans="1:5" ht="78.75">
      <c r="A37" s="169" t="s">
        <v>555</v>
      </c>
      <c r="B37" s="96" t="s">
        <v>559</v>
      </c>
      <c r="C37" s="96" t="s">
        <v>554</v>
      </c>
      <c r="D37" s="492" t="s">
        <v>560</v>
      </c>
      <c r="E37" s="302">
        <f>'Пр. 7'!G51</f>
        <v>0</v>
      </c>
    </row>
    <row r="38" spans="1:5" ht="31.5">
      <c r="A38" s="547" t="s">
        <v>566</v>
      </c>
      <c r="B38" s="549" t="s">
        <v>255</v>
      </c>
      <c r="C38" s="549" t="s">
        <v>568</v>
      </c>
      <c r="D38" s="283"/>
      <c r="E38" s="553">
        <f>E39</f>
        <v>971120.75</v>
      </c>
    </row>
    <row r="39" spans="1:5" ht="47.25">
      <c r="A39" s="524" t="s">
        <v>567</v>
      </c>
      <c r="B39" s="91" t="s">
        <v>255</v>
      </c>
      <c r="C39" s="91" t="s">
        <v>570</v>
      </c>
      <c r="D39" s="554" t="s">
        <v>569</v>
      </c>
      <c r="E39" s="261">
        <f>'Пр. 7'!G56</f>
        <v>971120.75</v>
      </c>
    </row>
    <row r="40" spans="1:5" s="25" customFormat="1" ht="56.25">
      <c r="A40" s="304" t="s">
        <v>645</v>
      </c>
      <c r="B40" s="366"/>
      <c r="C40" s="149" t="s">
        <v>281</v>
      </c>
      <c r="D40" s="428"/>
      <c r="E40" s="300">
        <f>E41+E43+E45</f>
        <v>1595000</v>
      </c>
    </row>
    <row r="41" spans="1:5" ht="15.75">
      <c r="A41" s="152" t="s">
        <v>307</v>
      </c>
      <c r="B41" s="149"/>
      <c r="C41" s="149" t="s">
        <v>279</v>
      </c>
      <c r="D41" s="428"/>
      <c r="E41" s="300">
        <f>E42</f>
        <v>1495000</v>
      </c>
    </row>
    <row r="42" spans="1:5" s="30" customFormat="1" ht="48" thickBot="1">
      <c r="A42" s="305" t="s">
        <v>507</v>
      </c>
      <c r="B42" s="493" t="s">
        <v>139</v>
      </c>
      <c r="C42" s="493" t="s">
        <v>280</v>
      </c>
      <c r="D42" s="494">
        <v>200</v>
      </c>
      <c r="E42" s="495">
        <f>'Пр. 7'!G36</f>
        <v>1495000</v>
      </c>
    </row>
    <row r="43" spans="1:5" s="26" customFormat="1" ht="15.75">
      <c r="A43" s="152" t="s">
        <v>308</v>
      </c>
      <c r="B43" s="149"/>
      <c r="C43" s="149" t="s">
        <v>309</v>
      </c>
      <c r="D43" s="428"/>
      <c r="E43" s="300">
        <f>E44</f>
        <v>100000</v>
      </c>
    </row>
    <row r="44" spans="1:5" s="30" customFormat="1" ht="63">
      <c r="A44" s="154" t="s">
        <v>310</v>
      </c>
      <c r="B44" s="96" t="s">
        <v>320</v>
      </c>
      <c r="C44" s="96" t="s">
        <v>305</v>
      </c>
      <c r="D44" s="151">
        <v>800</v>
      </c>
      <c r="E44" s="490">
        <f>'Пр. 7'!G24</f>
        <v>100000</v>
      </c>
    </row>
    <row r="45" spans="1:5" s="26" customFormat="1" ht="15.75">
      <c r="A45" s="152" t="s">
        <v>535</v>
      </c>
      <c r="B45" s="149"/>
      <c r="C45" s="149" t="s">
        <v>537</v>
      </c>
      <c r="D45" s="428"/>
      <c r="E45" s="300">
        <f>E46</f>
        <v>0</v>
      </c>
    </row>
    <row r="46" spans="1:5" s="30" customFormat="1" ht="31.5">
      <c r="A46" s="295" t="s">
        <v>534</v>
      </c>
      <c r="B46" s="96" t="s">
        <v>136</v>
      </c>
      <c r="C46" s="96" t="s">
        <v>530</v>
      </c>
      <c r="D46" s="151">
        <v>200</v>
      </c>
      <c r="E46" s="490">
        <f>'Пр. 7'!G28</f>
        <v>0</v>
      </c>
    </row>
    <row r="47" spans="1:5" ht="56.25">
      <c r="A47" s="304" t="s">
        <v>646</v>
      </c>
      <c r="B47" s="496"/>
      <c r="C47" s="170" t="s">
        <v>282</v>
      </c>
      <c r="D47" s="427"/>
      <c r="E47" s="300">
        <f>E48+E52+E54+E56+E58+E60+E62</f>
        <v>6756728</v>
      </c>
    </row>
    <row r="48" spans="1:5" ht="15.75">
      <c r="A48" s="152" t="s">
        <v>202</v>
      </c>
      <c r="B48" s="149"/>
      <c r="C48" s="149" t="s">
        <v>283</v>
      </c>
      <c r="D48" s="428"/>
      <c r="E48" s="300">
        <f>E49+E50+E51</f>
        <v>2616228</v>
      </c>
    </row>
    <row r="49" spans="1:8" s="30" customFormat="1" ht="47.25">
      <c r="A49" s="154" t="s">
        <v>527</v>
      </c>
      <c r="B49" s="96" t="s">
        <v>141</v>
      </c>
      <c r="C49" s="96" t="s">
        <v>284</v>
      </c>
      <c r="D49" s="151">
        <v>200</v>
      </c>
      <c r="E49" s="301">
        <f>'Пр. 7'!G58</f>
        <v>230000</v>
      </c>
    </row>
    <row r="50" spans="1:8" s="98" customFormat="1" ht="94.5">
      <c r="A50" s="295" t="s">
        <v>621</v>
      </c>
      <c r="B50" s="160" t="s">
        <v>261</v>
      </c>
      <c r="C50" s="96" t="s">
        <v>460</v>
      </c>
      <c r="D50" s="151">
        <v>200</v>
      </c>
      <c r="E50" s="302">
        <f>'Пр. 7'!G43</f>
        <v>652781</v>
      </c>
    </row>
    <row r="51" spans="1:8" s="30" customFormat="1" ht="78.75">
      <c r="A51" s="259" t="s">
        <v>510</v>
      </c>
      <c r="B51" s="260" t="s">
        <v>261</v>
      </c>
      <c r="C51" s="91" t="s">
        <v>466</v>
      </c>
      <c r="D51" s="95">
        <v>200</v>
      </c>
      <c r="E51" s="261">
        <f>'Пр. 7'!G44</f>
        <v>1733447</v>
      </c>
    </row>
    <row r="52" spans="1:8" s="26" customFormat="1" ht="31.5">
      <c r="A52" s="152" t="s">
        <v>203</v>
      </c>
      <c r="B52" s="149"/>
      <c r="C52" s="149" t="s">
        <v>285</v>
      </c>
      <c r="D52" s="428"/>
      <c r="E52" s="300">
        <f>E53</f>
        <v>1971000</v>
      </c>
    </row>
    <row r="53" spans="1:8" s="30" customFormat="1" ht="48" thickBot="1">
      <c r="A53" s="305" t="s">
        <v>511</v>
      </c>
      <c r="B53" s="493" t="s">
        <v>141</v>
      </c>
      <c r="C53" s="493" t="s">
        <v>286</v>
      </c>
      <c r="D53" s="494">
        <v>200</v>
      </c>
      <c r="E53" s="495">
        <f>'Пр. 7'!G59</f>
        <v>1971000</v>
      </c>
    </row>
    <row r="54" spans="1:8" s="26" customFormat="1" ht="15.75">
      <c r="A54" s="152" t="s">
        <v>370</v>
      </c>
      <c r="B54" s="149"/>
      <c r="C54" s="149" t="s">
        <v>371</v>
      </c>
      <c r="D54" s="428"/>
      <c r="E54" s="300">
        <f>E55</f>
        <v>424500</v>
      </c>
    </row>
    <row r="55" spans="1:8" s="30" customFormat="1" ht="32.25" thickBot="1">
      <c r="A55" s="169" t="s">
        <v>524</v>
      </c>
      <c r="B55" s="493"/>
      <c r="C55" s="493" t="s">
        <v>369</v>
      </c>
      <c r="D55" s="494">
        <v>200</v>
      </c>
      <c r="E55" s="495">
        <f>'Пр. 7'!G60</f>
        <v>424500</v>
      </c>
    </row>
    <row r="56" spans="1:8" s="26" customFormat="1" ht="31.5">
      <c r="A56" s="152" t="s">
        <v>372</v>
      </c>
      <c r="B56" s="149"/>
      <c r="C56" s="149" t="s">
        <v>373</v>
      </c>
      <c r="D56" s="428"/>
      <c r="E56" s="300">
        <f>E57</f>
        <v>835000</v>
      </c>
    </row>
    <row r="57" spans="1:8" s="30" customFormat="1" ht="32.25" thickBot="1">
      <c r="A57" s="305" t="s">
        <v>528</v>
      </c>
      <c r="B57" s="493" t="s">
        <v>255</v>
      </c>
      <c r="C57" s="493" t="s">
        <v>374</v>
      </c>
      <c r="D57" s="494">
        <v>200</v>
      </c>
      <c r="E57" s="495">
        <f>'Пр. 7'!G53</f>
        <v>835000</v>
      </c>
      <c r="H57"/>
    </row>
    <row r="58" spans="1:8" s="26" customFormat="1" ht="31.5">
      <c r="A58" s="152" t="s">
        <v>501</v>
      </c>
      <c r="B58" s="149"/>
      <c r="C58" s="149" t="s">
        <v>499</v>
      </c>
      <c r="D58" s="428"/>
      <c r="E58" s="300">
        <f>E59</f>
        <v>60000</v>
      </c>
    </row>
    <row r="59" spans="1:8" s="30" customFormat="1" ht="48" thickBot="1">
      <c r="A59" s="305" t="s">
        <v>529</v>
      </c>
      <c r="B59" s="493" t="s">
        <v>255</v>
      </c>
      <c r="C59" s="493" t="s">
        <v>500</v>
      </c>
      <c r="D59" s="494">
        <v>200</v>
      </c>
      <c r="E59" s="495">
        <f>'Пр. 7'!G54</f>
        <v>60000</v>
      </c>
    </row>
    <row r="60" spans="1:8" s="30" customFormat="1" ht="31.5">
      <c r="A60" s="152" t="s">
        <v>562</v>
      </c>
      <c r="B60" s="149"/>
      <c r="C60" s="149" t="s">
        <v>561</v>
      </c>
      <c r="D60" s="428"/>
      <c r="E60" s="300">
        <f>E61</f>
        <v>0</v>
      </c>
    </row>
    <row r="61" spans="1:8" s="30" customFormat="1" ht="48" thickBot="1">
      <c r="A61" s="305" t="s">
        <v>529</v>
      </c>
      <c r="B61" s="493" t="s">
        <v>255</v>
      </c>
      <c r="C61" s="493" t="s">
        <v>558</v>
      </c>
      <c r="D61" s="494">
        <v>200</v>
      </c>
      <c r="E61" s="495">
        <f>'Пр. 7'!G55</f>
        <v>0</v>
      </c>
    </row>
    <row r="62" spans="1:8" s="98" customFormat="1" ht="31.5">
      <c r="A62" s="152" t="s">
        <v>662</v>
      </c>
      <c r="B62" s="149"/>
      <c r="C62" s="149" t="s">
        <v>659</v>
      </c>
      <c r="D62" s="428"/>
      <c r="E62" s="300">
        <f>E63</f>
        <v>850000</v>
      </c>
    </row>
    <row r="63" spans="1:8" s="98" customFormat="1" ht="48" thickBot="1">
      <c r="A63" s="546" t="s">
        <v>661</v>
      </c>
      <c r="B63" s="493" t="s">
        <v>255</v>
      </c>
      <c r="C63" s="493" t="s">
        <v>660</v>
      </c>
      <c r="D63" s="494">
        <v>200</v>
      </c>
      <c r="E63" s="495">
        <f>'Пр. 7'!G61</f>
        <v>850000</v>
      </c>
    </row>
    <row r="64" spans="1:8" s="559" customFormat="1" ht="57.75" customHeight="1">
      <c r="A64" s="550" t="s">
        <v>647</v>
      </c>
      <c r="B64" s="556"/>
      <c r="C64" s="557" t="s">
        <v>287</v>
      </c>
      <c r="D64" s="555"/>
      <c r="E64" s="558">
        <f>E65+E73+E75+E77+E82+E84</f>
        <v>12550803.68</v>
      </c>
    </row>
    <row r="65" spans="1:8" s="359" customFormat="1" ht="31.5">
      <c r="A65" s="547" t="s">
        <v>204</v>
      </c>
      <c r="B65" s="549" t="s">
        <v>143</v>
      </c>
      <c r="C65" s="549" t="s">
        <v>288</v>
      </c>
      <c r="D65" s="548"/>
      <c r="E65" s="283">
        <f>SUM(E66:E72)</f>
        <v>6280192.3899999997</v>
      </c>
    </row>
    <row r="66" spans="1:8" s="98" customFormat="1" ht="78.75">
      <c r="A66" s="519" t="s">
        <v>222</v>
      </c>
      <c r="B66" s="91" t="s">
        <v>143</v>
      </c>
      <c r="C66" s="91" t="s">
        <v>289</v>
      </c>
      <c r="D66" s="95">
        <v>100</v>
      </c>
      <c r="E66" s="258">
        <f>'Пр. 7'!G69</f>
        <v>2534160</v>
      </c>
    </row>
    <row r="67" spans="1:8" s="98" customFormat="1" ht="94.5">
      <c r="A67" s="519" t="s">
        <v>221</v>
      </c>
      <c r="B67" s="91" t="s">
        <v>143</v>
      </c>
      <c r="C67" s="91" t="s">
        <v>290</v>
      </c>
      <c r="D67" s="95">
        <v>100</v>
      </c>
      <c r="E67" s="258">
        <f>'Пр. 7'!G70</f>
        <v>48918</v>
      </c>
    </row>
    <row r="68" spans="1:8" s="30" customFormat="1" ht="31.5">
      <c r="A68" s="154" t="s">
        <v>513</v>
      </c>
      <c r="B68" s="96" t="s">
        <v>143</v>
      </c>
      <c r="C68" s="96" t="s">
        <v>289</v>
      </c>
      <c r="D68" s="151">
        <v>200</v>
      </c>
      <c r="E68" s="301">
        <f>'Пр. 7'!G71</f>
        <v>2002680</v>
      </c>
    </row>
    <row r="69" spans="1:8" s="30" customFormat="1" ht="31.5">
      <c r="A69" s="370" t="s">
        <v>606</v>
      </c>
      <c r="B69" s="96" t="s">
        <v>143</v>
      </c>
      <c r="C69" s="96" t="s">
        <v>605</v>
      </c>
      <c r="D69" s="151">
        <v>200</v>
      </c>
      <c r="E69" s="301">
        <f>'Пр. 7'!G72</f>
        <v>765000</v>
      </c>
    </row>
    <row r="70" spans="1:8" s="30" customFormat="1" ht="31.5">
      <c r="A70" s="370" t="s">
        <v>635</v>
      </c>
      <c r="B70" s="96" t="s">
        <v>143</v>
      </c>
      <c r="C70" s="96" t="s">
        <v>636</v>
      </c>
      <c r="D70" s="151">
        <v>200</v>
      </c>
      <c r="E70" s="301">
        <f>'Пр. 7'!G73</f>
        <v>888434.39</v>
      </c>
    </row>
    <row r="71" spans="1:8" s="30" customFormat="1" ht="31.5">
      <c r="A71" s="154" t="s">
        <v>223</v>
      </c>
      <c r="B71" s="96" t="s">
        <v>143</v>
      </c>
      <c r="C71" s="96" t="s">
        <v>289</v>
      </c>
      <c r="D71" s="151">
        <v>800</v>
      </c>
      <c r="E71" s="301">
        <f>'Пр. 7'!G74</f>
        <v>41000</v>
      </c>
    </row>
    <row r="72" spans="1:8" s="30" customFormat="1" ht="31.5">
      <c r="A72" s="154" t="s">
        <v>469</v>
      </c>
      <c r="B72" s="96" t="s">
        <v>143</v>
      </c>
      <c r="C72" s="96" t="s">
        <v>468</v>
      </c>
      <c r="D72" s="151">
        <v>200</v>
      </c>
      <c r="E72" s="301">
        <f>'Пр. 7'!G75</f>
        <v>0</v>
      </c>
    </row>
    <row r="73" spans="1:8" s="26" customFormat="1" ht="31.5">
      <c r="A73" s="152" t="s">
        <v>205</v>
      </c>
      <c r="B73" s="149"/>
      <c r="C73" s="149" t="s">
        <v>291</v>
      </c>
      <c r="D73" s="428"/>
      <c r="E73" s="300">
        <f>E74</f>
        <v>100000</v>
      </c>
    </row>
    <row r="74" spans="1:8" s="30" customFormat="1" ht="31.5">
      <c r="A74" s="154" t="s">
        <v>514</v>
      </c>
      <c r="B74" s="96" t="s">
        <v>383</v>
      </c>
      <c r="C74" s="96" t="s">
        <v>292</v>
      </c>
      <c r="D74" s="151">
        <v>200</v>
      </c>
      <c r="E74" s="301">
        <f>'Пр. 7'!G86</f>
        <v>100000</v>
      </c>
    </row>
    <row r="75" spans="1:8" s="26" customFormat="1" ht="31.5">
      <c r="A75" s="152" t="s">
        <v>206</v>
      </c>
      <c r="B75" s="149"/>
      <c r="C75" s="149" t="s">
        <v>293</v>
      </c>
      <c r="D75" s="428"/>
      <c r="E75" s="300">
        <f>E76</f>
        <v>1071000</v>
      </c>
    </row>
    <row r="76" spans="1:8" s="30" customFormat="1" ht="47.25">
      <c r="A76" s="306" t="s">
        <v>522</v>
      </c>
      <c r="B76" s="498" t="s">
        <v>141</v>
      </c>
      <c r="C76" s="498" t="s">
        <v>294</v>
      </c>
      <c r="D76" s="377">
        <v>200</v>
      </c>
      <c r="E76" s="499">
        <f>'Пр. 7'!G88</f>
        <v>1071000</v>
      </c>
    </row>
    <row r="77" spans="1:8" s="26" customFormat="1" ht="31.5">
      <c r="A77" s="152" t="s">
        <v>228</v>
      </c>
      <c r="B77" s="149"/>
      <c r="C77" s="149" t="s">
        <v>295</v>
      </c>
      <c r="D77" s="428"/>
      <c r="E77" s="300">
        <f>E78+E79+E80+E81</f>
        <v>1770229.29</v>
      </c>
      <c r="F77" s="51"/>
    </row>
    <row r="78" spans="1:8" s="30" customFormat="1" ht="94.5">
      <c r="A78" s="154" t="s">
        <v>229</v>
      </c>
      <c r="B78" s="96" t="s">
        <v>143</v>
      </c>
      <c r="C78" s="96" t="s">
        <v>459</v>
      </c>
      <c r="D78" s="151">
        <v>100</v>
      </c>
      <c r="E78" s="301">
        <f>'Пр. 7'!G77</f>
        <v>663379.56000000006</v>
      </c>
      <c r="F78" s="52"/>
      <c r="G78" s="52"/>
      <c r="H78" s="52"/>
    </row>
    <row r="79" spans="1:8" s="30" customFormat="1" ht="47.25">
      <c r="A79" s="154" t="s">
        <v>516</v>
      </c>
      <c r="B79" s="96" t="s">
        <v>143</v>
      </c>
      <c r="C79" s="96" t="s">
        <v>459</v>
      </c>
      <c r="D79" s="151">
        <v>200</v>
      </c>
      <c r="E79" s="301">
        <f>'Пр. 7'!G78</f>
        <v>596320</v>
      </c>
    </row>
    <row r="80" spans="1:8" s="30" customFormat="1" ht="101.25" customHeight="1">
      <c r="A80" s="154" t="s">
        <v>603</v>
      </c>
      <c r="B80" s="96" t="s">
        <v>143</v>
      </c>
      <c r="C80" s="96" t="s">
        <v>296</v>
      </c>
      <c r="D80" s="151">
        <v>100</v>
      </c>
      <c r="E80" s="301">
        <f>'Пр. 7'!G79</f>
        <v>485003.25</v>
      </c>
    </row>
    <row r="81" spans="1:7" s="30" customFormat="1" ht="96.75" customHeight="1">
      <c r="A81" s="154" t="s">
        <v>231</v>
      </c>
      <c r="B81" s="96" t="s">
        <v>143</v>
      </c>
      <c r="C81" s="96" t="s">
        <v>297</v>
      </c>
      <c r="D81" s="151">
        <v>100</v>
      </c>
      <c r="E81" s="301">
        <f>'Пр. 7'!G80</f>
        <v>25526.48</v>
      </c>
    </row>
    <row r="82" spans="1:7" s="30" customFormat="1" ht="31.5">
      <c r="A82" s="168" t="s">
        <v>233</v>
      </c>
      <c r="B82" s="170"/>
      <c r="C82" s="170" t="s">
        <v>298</v>
      </c>
      <c r="D82" s="427"/>
      <c r="E82" s="497">
        <f>E83</f>
        <v>2400000</v>
      </c>
    </row>
    <row r="83" spans="1:7" s="30" customFormat="1" ht="47.25">
      <c r="A83" s="154" t="s">
        <v>523</v>
      </c>
      <c r="B83" s="96" t="s">
        <v>143</v>
      </c>
      <c r="C83" s="96" t="s">
        <v>299</v>
      </c>
      <c r="D83" s="151">
        <v>200</v>
      </c>
      <c r="E83" s="301">
        <f>'Пр. 7'!G82</f>
        <v>2400000</v>
      </c>
    </row>
    <row r="84" spans="1:7" s="26" customFormat="1" ht="47.25">
      <c r="A84" s="152" t="s">
        <v>451</v>
      </c>
      <c r="B84" s="149" t="s">
        <v>143</v>
      </c>
      <c r="C84" s="149" t="s">
        <v>452</v>
      </c>
      <c r="D84" s="428"/>
      <c r="E84" s="300">
        <f>E85</f>
        <v>929382</v>
      </c>
    </row>
    <row r="85" spans="1:7" s="30" customFormat="1" ht="95.25" customHeight="1">
      <c r="A85" s="154" t="s">
        <v>603</v>
      </c>
      <c r="B85" s="96" t="s">
        <v>143</v>
      </c>
      <c r="C85" s="96" t="s">
        <v>450</v>
      </c>
      <c r="D85" s="151">
        <v>100</v>
      </c>
      <c r="E85" s="301">
        <f>безвозм.пост.!C9</f>
        <v>929382</v>
      </c>
    </row>
    <row r="86" spans="1:7" s="26" customFormat="1" ht="47.25">
      <c r="A86" s="152" t="s">
        <v>652</v>
      </c>
      <c r="B86" s="149"/>
      <c r="C86" s="149"/>
      <c r="D86" s="428"/>
      <c r="E86" s="300">
        <f>E87</f>
        <v>0</v>
      </c>
    </row>
    <row r="87" spans="1:7" s="30" customFormat="1" ht="47.25">
      <c r="A87" s="169" t="s">
        <v>648</v>
      </c>
      <c r="B87" s="96" t="s">
        <v>143</v>
      </c>
      <c r="C87" s="96" t="s">
        <v>651</v>
      </c>
      <c r="D87" s="151">
        <v>200</v>
      </c>
      <c r="E87" s="109">
        <f>'Пр. 7'!G90</f>
        <v>0</v>
      </c>
    </row>
    <row r="88" spans="1:7" ht="15.75">
      <c r="A88" s="152" t="s">
        <v>493</v>
      </c>
      <c r="B88" s="428"/>
      <c r="C88" s="96"/>
      <c r="D88" s="151"/>
      <c r="E88" s="500">
        <f>E13+E40+E47+E64+E87</f>
        <v>31338063.43</v>
      </c>
      <c r="G88" s="20"/>
    </row>
    <row r="92" spans="1:7">
      <c r="E92" s="383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topLeftCell="A55" workbookViewId="0">
      <selection activeCell="B19" sqref="B19"/>
    </sheetView>
  </sheetViews>
  <sheetFormatPr defaultRowHeight="15.75"/>
  <cols>
    <col min="1" max="1" width="61.7109375" style="84" customWidth="1"/>
    <col min="2" max="2" width="13.42578125" style="176" customWidth="1"/>
    <col min="3" max="3" width="16.42578125" style="85" customWidth="1"/>
    <col min="4" max="4" width="12.7109375" style="86" customWidth="1"/>
    <col min="5" max="5" width="16.140625" style="86" customWidth="1"/>
    <col min="6" max="6" width="17.42578125" style="86" customWidth="1"/>
    <col min="7" max="7" width="14.7109375" bestFit="1" customWidth="1"/>
    <col min="8" max="8" width="18.140625" customWidth="1"/>
  </cols>
  <sheetData>
    <row r="1" spans="1:6">
      <c r="D1" s="643" t="s">
        <v>128</v>
      </c>
      <c r="E1" s="643"/>
      <c r="F1" s="643"/>
    </row>
    <row r="2" spans="1:6">
      <c r="D2" s="641" t="s">
        <v>33</v>
      </c>
      <c r="E2" s="641"/>
      <c r="F2" s="641"/>
    </row>
    <row r="3" spans="1:6">
      <c r="D3" s="641" t="s">
        <v>109</v>
      </c>
      <c r="E3" s="641"/>
      <c r="F3" s="641"/>
    </row>
    <row r="4" spans="1:6">
      <c r="D4" s="641" t="s">
        <v>27</v>
      </c>
      <c r="E4" s="641"/>
      <c r="F4" s="641"/>
    </row>
    <row r="5" spans="1:6">
      <c r="D5" s="641" t="s">
        <v>28</v>
      </c>
      <c r="E5" s="641"/>
      <c r="F5" s="641"/>
    </row>
    <row r="6" spans="1:6">
      <c r="D6" s="641" t="s">
        <v>620</v>
      </c>
      <c r="E6" s="641"/>
      <c r="F6" s="641"/>
    </row>
    <row r="7" spans="1:6">
      <c r="D7" s="68"/>
      <c r="E7" s="68"/>
      <c r="F7" s="68"/>
    </row>
    <row r="8" spans="1:6" ht="52.5" customHeight="1">
      <c r="A8" s="589" t="s">
        <v>592</v>
      </c>
      <c r="B8" s="589"/>
      <c r="C8" s="589"/>
      <c r="D8" s="589"/>
      <c r="E8" s="653"/>
      <c r="F8" s="653"/>
    </row>
    <row r="10" spans="1:6" ht="31.5">
      <c r="A10" s="89" t="s">
        <v>34</v>
      </c>
      <c r="B10" s="47" t="s">
        <v>130</v>
      </c>
      <c r="C10" s="47" t="s">
        <v>64</v>
      </c>
      <c r="D10" s="89" t="s">
        <v>65</v>
      </c>
      <c r="E10" s="619" t="s">
        <v>42</v>
      </c>
      <c r="F10" s="619"/>
    </row>
    <row r="11" spans="1:6">
      <c r="A11" s="87"/>
      <c r="B11" s="177"/>
      <c r="C11" s="47"/>
      <c r="D11" s="89"/>
      <c r="E11" s="407" t="s">
        <v>471</v>
      </c>
      <c r="F11" s="90" t="s">
        <v>584</v>
      </c>
    </row>
    <row r="12" spans="1:6" s="26" customFormat="1" ht="47.25">
      <c r="A12" s="38" t="s">
        <v>455</v>
      </c>
      <c r="B12" s="47"/>
      <c r="C12" s="47" t="s">
        <v>201</v>
      </c>
      <c r="D12" s="97"/>
      <c r="E12" s="101">
        <f>E13+E39+E34+E52</f>
        <v>17395000</v>
      </c>
      <c r="F12" s="101">
        <f>F13+F39+F34+F52</f>
        <v>11536900</v>
      </c>
    </row>
    <row r="13" spans="1:6" s="26" customFormat="1" ht="75">
      <c r="A13" s="65" t="s">
        <v>454</v>
      </c>
      <c r="B13" s="37"/>
      <c r="C13" s="47" t="s">
        <v>270</v>
      </c>
      <c r="D13" s="97"/>
      <c r="E13" s="101">
        <f>E14+E19+E22+E25+E27+E29+E32</f>
        <v>7659858.4000000004</v>
      </c>
      <c r="F13" s="101">
        <f>F14+F19+F22+F25+F27+F29</f>
        <v>6001818.4000000004</v>
      </c>
    </row>
    <row r="14" spans="1:6" s="26" customFormat="1" ht="31.5">
      <c r="A14" s="38" t="s">
        <v>263</v>
      </c>
      <c r="B14" s="47"/>
      <c r="C14" s="47" t="s">
        <v>337</v>
      </c>
      <c r="D14" s="97"/>
      <c r="E14" s="101">
        <f>E15+E16+E17+E18</f>
        <v>6007000</v>
      </c>
      <c r="F14" s="101">
        <f>F15+F16+F17+F18</f>
        <v>4381182.4000000004</v>
      </c>
    </row>
    <row r="15" spans="1:6" ht="94.5">
      <c r="A15" s="49" t="s">
        <v>207</v>
      </c>
      <c r="B15" s="45" t="s">
        <v>131</v>
      </c>
      <c r="C15" s="45" t="s">
        <v>271</v>
      </c>
      <c r="D15" s="46">
        <v>100</v>
      </c>
      <c r="E15" s="103">
        <f>Пр.8!G15</f>
        <v>1042000</v>
      </c>
      <c r="F15" s="103">
        <f>Пр.8!H15</f>
        <v>1000000</v>
      </c>
    </row>
    <row r="16" spans="1:6" ht="94.5">
      <c r="A16" s="49" t="s">
        <v>208</v>
      </c>
      <c r="B16" s="45" t="s">
        <v>132</v>
      </c>
      <c r="C16" s="45" t="s">
        <v>272</v>
      </c>
      <c r="D16" s="46">
        <v>100</v>
      </c>
      <c r="E16" s="103">
        <f>Пр.8!G18</f>
        <v>3745000</v>
      </c>
      <c r="F16" s="103">
        <f>Пр.8!H18</f>
        <v>2700000</v>
      </c>
    </row>
    <row r="17" spans="1:6" s="30" customFormat="1" ht="31.5">
      <c r="A17" s="49" t="s">
        <v>502</v>
      </c>
      <c r="B17" s="45" t="s">
        <v>132</v>
      </c>
      <c r="C17" s="45" t="s">
        <v>272</v>
      </c>
      <c r="D17" s="46">
        <v>200</v>
      </c>
      <c r="E17" s="103">
        <f>Пр.8!G19</f>
        <v>1200000</v>
      </c>
      <c r="F17" s="103">
        <f>Пр.8!H19</f>
        <v>661182.4</v>
      </c>
    </row>
    <row r="18" spans="1:6" ht="31.5">
      <c r="A18" s="49" t="s">
        <v>209</v>
      </c>
      <c r="B18" s="45" t="s">
        <v>132</v>
      </c>
      <c r="C18" s="45" t="s">
        <v>272</v>
      </c>
      <c r="D18" s="46">
        <v>800</v>
      </c>
      <c r="E18" s="103">
        <f>Пр.8!G20</f>
        <v>20000</v>
      </c>
      <c r="F18" s="103">
        <f>Пр.8!H20</f>
        <v>20000</v>
      </c>
    </row>
    <row r="19" spans="1:6" s="26" customFormat="1" ht="31.5">
      <c r="A19" s="38" t="s">
        <v>264</v>
      </c>
      <c r="B19" s="47"/>
      <c r="C19" s="47" t="s">
        <v>338</v>
      </c>
      <c r="D19" s="97"/>
      <c r="E19" s="101">
        <f>E20+E21</f>
        <v>3131.12</v>
      </c>
      <c r="F19" s="101">
        <f>F20+F21</f>
        <v>0</v>
      </c>
    </row>
    <row r="20" spans="1:6" s="26" customFormat="1" ht="78.75">
      <c r="A20" s="49" t="s">
        <v>503</v>
      </c>
      <c r="B20" s="45" t="s">
        <v>136</v>
      </c>
      <c r="C20" s="45" t="s">
        <v>273</v>
      </c>
      <c r="D20" s="46">
        <v>200</v>
      </c>
      <c r="E20" s="103">
        <f>Пр.8!G26</f>
        <v>2131.12</v>
      </c>
      <c r="F20" s="103">
        <f>Пр.8!H26</f>
        <v>0</v>
      </c>
    </row>
    <row r="21" spans="1:6" s="26" customFormat="1" ht="47.25">
      <c r="A21" s="49" t="s">
        <v>504</v>
      </c>
      <c r="B21" s="45" t="s">
        <v>136</v>
      </c>
      <c r="C21" s="45" t="s">
        <v>274</v>
      </c>
      <c r="D21" s="46">
        <v>200</v>
      </c>
      <c r="E21" s="103">
        <f>Пр.8!G27</f>
        <v>1000</v>
      </c>
      <c r="F21" s="103">
        <f>Пр.8!H27</f>
        <v>0</v>
      </c>
    </row>
    <row r="22" spans="1:6" s="26" customFormat="1" ht="31.5">
      <c r="A22" s="38" t="s">
        <v>265</v>
      </c>
      <c r="B22" s="47"/>
      <c r="C22" s="47" t="s">
        <v>339</v>
      </c>
      <c r="D22" s="97"/>
      <c r="E22" s="101">
        <f>E23+E24</f>
        <v>246500</v>
      </c>
      <c r="F22" s="101">
        <f>F23+F24</f>
        <v>254900</v>
      </c>
    </row>
    <row r="23" spans="1:6" s="30" customFormat="1" ht="94.5">
      <c r="A23" s="49" t="s">
        <v>211</v>
      </c>
      <c r="B23" s="45" t="s">
        <v>137</v>
      </c>
      <c r="C23" s="45" t="s">
        <v>275</v>
      </c>
      <c r="D23" s="46">
        <v>100</v>
      </c>
      <c r="E23" s="107">
        <f>Пр.8!G30</f>
        <v>221000</v>
      </c>
      <c r="F23" s="107">
        <f>Пр.8!H30</f>
        <v>221000</v>
      </c>
    </row>
    <row r="24" spans="1:6" s="30" customFormat="1" ht="51" customHeight="1">
      <c r="A24" s="49" t="s">
        <v>518</v>
      </c>
      <c r="B24" s="45" t="s">
        <v>137</v>
      </c>
      <c r="C24" s="45" t="s">
        <v>275</v>
      </c>
      <c r="D24" s="46">
        <v>200</v>
      </c>
      <c r="E24" s="107">
        <f>Пр.8!G31</f>
        <v>25500</v>
      </c>
      <c r="F24" s="107">
        <f>Пр.8!H31</f>
        <v>33900</v>
      </c>
    </row>
    <row r="25" spans="1:6" s="26" customFormat="1" ht="47.25">
      <c r="A25" s="38" t="s">
        <v>266</v>
      </c>
      <c r="B25" s="45"/>
      <c r="C25" s="47" t="s">
        <v>340</v>
      </c>
      <c r="D25" s="97"/>
      <c r="E25" s="101">
        <f>E26</f>
        <v>27491.279999999999</v>
      </c>
      <c r="F25" s="101">
        <f>F26</f>
        <v>0</v>
      </c>
    </row>
    <row r="26" spans="1:6" s="30" customFormat="1" ht="78.75">
      <c r="A26" s="49" t="s">
        <v>210</v>
      </c>
      <c r="B26" s="45" t="s">
        <v>135</v>
      </c>
      <c r="C26" s="45" t="s">
        <v>276</v>
      </c>
      <c r="D26" s="46">
        <v>500</v>
      </c>
      <c r="E26" s="103">
        <f>Пр.8!G22</f>
        <v>27491.279999999999</v>
      </c>
      <c r="F26" s="103">
        <f>Пр.8!H22</f>
        <v>0</v>
      </c>
    </row>
    <row r="27" spans="1:6" s="26" customFormat="1" ht="47.25">
      <c r="A27" s="38" t="s">
        <v>267</v>
      </c>
      <c r="B27" s="45"/>
      <c r="C27" s="47" t="s">
        <v>341</v>
      </c>
      <c r="D27" s="97"/>
      <c r="E27" s="101">
        <f>E28</f>
        <v>230000</v>
      </c>
      <c r="F27" s="101">
        <f>F28</f>
        <v>220000</v>
      </c>
    </row>
    <row r="28" spans="1:6" s="30" customFormat="1" ht="47.25">
      <c r="A28" s="49" t="s">
        <v>212</v>
      </c>
      <c r="B28" s="45" t="s">
        <v>144</v>
      </c>
      <c r="C28" s="91" t="s">
        <v>300</v>
      </c>
      <c r="D28" s="46">
        <v>300</v>
      </c>
      <c r="E28" s="103">
        <f>Пр.8!G52</f>
        <v>230000</v>
      </c>
      <c r="F28" s="103">
        <f>Пр.8!H52</f>
        <v>220000</v>
      </c>
    </row>
    <row r="29" spans="1:6" s="26" customFormat="1" ht="31.5">
      <c r="A29" s="38" t="s">
        <v>268</v>
      </c>
      <c r="B29" s="47"/>
      <c r="C29" s="47" t="s">
        <v>343</v>
      </c>
      <c r="D29" s="97"/>
      <c r="E29" s="101">
        <f>E30+E31</f>
        <v>1145736</v>
      </c>
      <c r="F29" s="101">
        <f>F30+F31</f>
        <v>1145736</v>
      </c>
    </row>
    <row r="30" spans="1:6" s="30" customFormat="1" ht="126">
      <c r="A30" s="49" t="s">
        <v>519</v>
      </c>
      <c r="B30" s="42" t="s">
        <v>261</v>
      </c>
      <c r="C30" s="45" t="s">
        <v>277</v>
      </c>
      <c r="D30" s="46">
        <v>200</v>
      </c>
      <c r="E30" s="103">
        <f>Пр.8!G38</f>
        <v>450000</v>
      </c>
      <c r="F30" s="103">
        <f>Пр.8!H38</f>
        <v>357005</v>
      </c>
    </row>
    <row r="31" spans="1:6" s="30" customFormat="1" ht="63">
      <c r="A31" s="49" t="s">
        <v>520</v>
      </c>
      <c r="B31" s="42" t="s">
        <v>261</v>
      </c>
      <c r="C31" s="45" t="s">
        <v>278</v>
      </c>
      <c r="D31" s="46">
        <v>200</v>
      </c>
      <c r="E31" s="103">
        <f>Пр.8!G39</f>
        <v>695736</v>
      </c>
      <c r="F31" s="103">
        <f>Пр.8!H39</f>
        <v>788731</v>
      </c>
    </row>
    <row r="32" spans="1:6" ht="31.5">
      <c r="A32" s="38" t="s">
        <v>491</v>
      </c>
      <c r="B32" s="47" t="s">
        <v>487</v>
      </c>
      <c r="C32" s="47" t="s">
        <v>492</v>
      </c>
      <c r="D32" s="101"/>
      <c r="E32" s="296">
        <f>E33</f>
        <v>0</v>
      </c>
      <c r="F32" s="296">
        <f>F33</f>
        <v>0</v>
      </c>
    </row>
    <row r="33" spans="1:6" ht="94.5">
      <c r="A33" s="67" t="s">
        <v>506</v>
      </c>
      <c r="B33" s="45" t="s">
        <v>487</v>
      </c>
      <c r="C33" s="45" t="s">
        <v>490</v>
      </c>
      <c r="D33" s="297">
        <v>200</v>
      </c>
      <c r="E33" s="104">
        <f>Пр.8!G41</f>
        <v>0</v>
      </c>
      <c r="F33" s="104">
        <f>Пр.8!H41</f>
        <v>0</v>
      </c>
    </row>
    <row r="34" spans="1:6" s="26" customFormat="1" ht="75">
      <c r="A34" s="65" t="s">
        <v>456</v>
      </c>
      <c r="B34" s="42"/>
      <c r="C34" s="47" t="s">
        <v>281</v>
      </c>
      <c r="D34" s="97"/>
      <c r="E34" s="101">
        <f>E35+E37</f>
        <v>1300000</v>
      </c>
      <c r="F34" s="101">
        <f>F35+F37</f>
        <v>100000</v>
      </c>
    </row>
    <row r="35" spans="1:6" s="26" customFormat="1" ht="31.5">
      <c r="A35" s="38" t="s">
        <v>307</v>
      </c>
      <c r="B35" s="47"/>
      <c r="C35" s="47" t="s">
        <v>279</v>
      </c>
      <c r="D35" s="97"/>
      <c r="E35" s="101">
        <f>E36</f>
        <v>1200000</v>
      </c>
      <c r="F35" s="101">
        <f>F36</f>
        <v>0</v>
      </c>
    </row>
    <row r="36" spans="1:6" ht="63">
      <c r="A36" s="49" t="s">
        <v>507</v>
      </c>
      <c r="B36" s="45" t="s">
        <v>139</v>
      </c>
      <c r="C36" s="45" t="s">
        <v>280</v>
      </c>
      <c r="D36" s="46">
        <v>200</v>
      </c>
      <c r="E36" s="102">
        <f>Пр.8!G34</f>
        <v>1200000</v>
      </c>
      <c r="F36" s="102">
        <f>Пр.8!H34</f>
        <v>0</v>
      </c>
    </row>
    <row r="37" spans="1:6" s="26" customFormat="1">
      <c r="A37" s="38" t="s">
        <v>308</v>
      </c>
      <c r="B37" s="47"/>
      <c r="C37" s="47" t="s">
        <v>309</v>
      </c>
      <c r="D37" s="97"/>
      <c r="E37" s="101">
        <f>E38</f>
        <v>100000</v>
      </c>
      <c r="F37" s="101">
        <f>F38</f>
        <v>100000</v>
      </c>
    </row>
    <row r="38" spans="1:6" ht="63">
      <c r="A38" s="49" t="s">
        <v>310</v>
      </c>
      <c r="B38" s="45" t="s">
        <v>320</v>
      </c>
      <c r="C38" s="45" t="s">
        <v>305</v>
      </c>
      <c r="D38" s="46">
        <v>800</v>
      </c>
      <c r="E38" s="102">
        <f>Пр.8!G24</f>
        <v>100000</v>
      </c>
      <c r="F38" s="102">
        <f>Пр.8!H24</f>
        <v>100000</v>
      </c>
    </row>
    <row r="39" spans="1:6" s="26" customFormat="1" ht="75">
      <c r="A39" s="65" t="s">
        <v>457</v>
      </c>
      <c r="B39" s="37"/>
      <c r="C39" s="47" t="s">
        <v>282</v>
      </c>
      <c r="D39" s="97"/>
      <c r="E39" s="106">
        <f>E40+E44+E46+E48</f>
        <v>2267781</v>
      </c>
      <c r="F39" s="106">
        <f>F40+F44+F46+F48</f>
        <v>867781</v>
      </c>
    </row>
    <row r="40" spans="1:6" s="26" customFormat="1" ht="31.5">
      <c r="A40" s="38" t="s">
        <v>202</v>
      </c>
      <c r="B40" s="47"/>
      <c r="C40" s="47" t="s">
        <v>283</v>
      </c>
      <c r="D40" s="97"/>
      <c r="E40" s="106">
        <f>E41+E42</f>
        <v>522781</v>
      </c>
      <c r="F40" s="106">
        <f>F41+F42</f>
        <v>322781</v>
      </c>
    </row>
    <row r="41" spans="1:6" ht="47.25">
      <c r="A41" s="49" t="s">
        <v>508</v>
      </c>
      <c r="B41" s="45" t="s">
        <v>141</v>
      </c>
      <c r="C41" s="45" t="s">
        <v>284</v>
      </c>
      <c r="D41" s="46">
        <v>200</v>
      </c>
      <c r="E41" s="102">
        <f>Пр.8!G48</f>
        <v>200000</v>
      </c>
      <c r="F41" s="102">
        <f>Пр.8!H48</f>
        <v>0</v>
      </c>
    </row>
    <row r="42" spans="1:6" s="30" customFormat="1" ht="126">
      <c r="A42" s="167" t="s">
        <v>509</v>
      </c>
      <c r="B42" s="42" t="s">
        <v>261</v>
      </c>
      <c r="C42" s="45" t="s">
        <v>460</v>
      </c>
      <c r="D42" s="245">
        <v>200</v>
      </c>
      <c r="E42" s="104">
        <f>Пр.8!G37</f>
        <v>322781</v>
      </c>
      <c r="F42" s="104">
        <f>Пр.8!H37</f>
        <v>322781</v>
      </c>
    </row>
    <row r="43" spans="1:6" s="30" customFormat="1" ht="94.5">
      <c r="A43" s="259" t="s">
        <v>510</v>
      </c>
      <c r="B43" s="260" t="s">
        <v>261</v>
      </c>
      <c r="C43" s="91" t="s">
        <v>466</v>
      </c>
      <c r="D43" s="95">
        <v>200</v>
      </c>
      <c r="E43" s="261">
        <f>безвозм.пост.!D52</f>
        <v>0</v>
      </c>
      <c r="F43" s="261">
        <f>безвозм.пост.!E52</f>
        <v>0</v>
      </c>
    </row>
    <row r="44" spans="1:6" s="26" customFormat="1" ht="31.5">
      <c r="A44" s="38" t="s">
        <v>203</v>
      </c>
      <c r="B44" s="47"/>
      <c r="C44" s="47" t="s">
        <v>285</v>
      </c>
      <c r="D44" s="97"/>
      <c r="E44" s="106">
        <f>E45</f>
        <v>1200000</v>
      </c>
      <c r="F44" s="106">
        <f>F45</f>
        <v>0</v>
      </c>
    </row>
    <row r="45" spans="1:6" s="30" customFormat="1" ht="47.25">
      <c r="A45" s="49" t="s">
        <v>521</v>
      </c>
      <c r="B45" s="45" t="s">
        <v>141</v>
      </c>
      <c r="C45" s="45" t="s">
        <v>286</v>
      </c>
      <c r="D45" s="46">
        <v>200</v>
      </c>
      <c r="E45" s="102">
        <f>Пр.8!G49</f>
        <v>1200000</v>
      </c>
      <c r="F45" s="102">
        <f>Пр.8!H49</f>
        <v>0</v>
      </c>
    </row>
    <row r="46" spans="1:6" s="30" customFormat="1" ht="31.5">
      <c r="A46" s="38" t="s">
        <v>370</v>
      </c>
      <c r="B46" s="47"/>
      <c r="C46" s="47" t="s">
        <v>371</v>
      </c>
      <c r="D46" s="310"/>
      <c r="E46" s="101">
        <f>E47</f>
        <v>210000</v>
      </c>
      <c r="F46" s="101">
        <f>F47</f>
        <v>210000</v>
      </c>
    </row>
    <row r="47" spans="1:6" s="30" customFormat="1" ht="32.25" thickBot="1">
      <c r="A47" s="48" t="s">
        <v>524</v>
      </c>
      <c r="B47" s="92"/>
      <c r="C47" s="92" t="s">
        <v>369</v>
      </c>
      <c r="D47" s="93">
        <v>200</v>
      </c>
      <c r="E47" s="105">
        <f>безвозм.пост.!D50</f>
        <v>210000</v>
      </c>
      <c r="F47" s="105">
        <f>безвозм.пост.!E50</f>
        <v>210000</v>
      </c>
    </row>
    <row r="48" spans="1:6" s="30" customFormat="1" ht="31.5">
      <c r="A48" s="38" t="s">
        <v>372</v>
      </c>
      <c r="B48" s="47"/>
      <c r="C48" s="47" t="s">
        <v>373</v>
      </c>
      <c r="D48" s="310"/>
      <c r="E48" s="101">
        <f>E49</f>
        <v>335000</v>
      </c>
      <c r="F48" s="101">
        <f>F49</f>
        <v>335000</v>
      </c>
    </row>
    <row r="49" spans="1:8" s="30" customFormat="1" ht="48" thickBot="1">
      <c r="A49" s="48" t="s">
        <v>528</v>
      </c>
      <c r="B49" s="92" t="s">
        <v>255</v>
      </c>
      <c r="C49" s="92" t="s">
        <v>374</v>
      </c>
      <c r="D49" s="93">
        <v>200</v>
      </c>
      <c r="E49" s="105">
        <f>безвозм.пост.!D42</f>
        <v>335000</v>
      </c>
      <c r="F49" s="105">
        <f>безвозм.пост.!E42</f>
        <v>335000</v>
      </c>
    </row>
    <row r="50" spans="1:8" s="26" customFormat="1" ht="31.5">
      <c r="A50" s="38" t="s">
        <v>501</v>
      </c>
      <c r="B50" s="47"/>
      <c r="C50" s="47" t="s">
        <v>499</v>
      </c>
      <c r="D50" s="351"/>
      <c r="E50" s="101">
        <f>E51</f>
        <v>0</v>
      </c>
      <c r="F50" s="101">
        <f>F51</f>
        <v>0</v>
      </c>
    </row>
    <row r="51" spans="1:8" s="30" customFormat="1" ht="63.75" thickBot="1">
      <c r="A51" s="48" t="s">
        <v>529</v>
      </c>
      <c r="B51" s="92" t="s">
        <v>255</v>
      </c>
      <c r="C51" s="92" t="s">
        <v>500</v>
      </c>
      <c r="D51" s="93">
        <v>200</v>
      </c>
      <c r="E51" s="105">
        <f>Пр.8!G45</f>
        <v>0</v>
      </c>
      <c r="F51" s="105">
        <f>Пр.8!H45</f>
        <v>0</v>
      </c>
    </row>
    <row r="52" spans="1:8" s="26" customFormat="1" ht="79.5" customHeight="1">
      <c r="A52" s="65" t="s">
        <v>458</v>
      </c>
      <c r="B52" s="37"/>
      <c r="C52" s="47" t="s">
        <v>287</v>
      </c>
      <c r="D52" s="97"/>
      <c r="E52" s="106">
        <f>E53+E59+E61+E63+E68</f>
        <v>6167360.5999999996</v>
      </c>
      <c r="F52" s="106">
        <f>F53+F59+F61+F63+F68</f>
        <v>4567300.5999999996</v>
      </c>
    </row>
    <row r="53" spans="1:8" s="26" customFormat="1" ht="31.5">
      <c r="A53" s="38" t="s">
        <v>204</v>
      </c>
      <c r="B53" s="47"/>
      <c r="C53" s="47" t="s">
        <v>288</v>
      </c>
      <c r="D53" s="97"/>
      <c r="E53" s="106">
        <f>E54+E56+E58</f>
        <v>3550060</v>
      </c>
      <c r="F53" s="106">
        <f>F54+F56+F58</f>
        <v>2550000</v>
      </c>
    </row>
    <row r="54" spans="1:8" ht="94.5">
      <c r="A54" s="49" t="s">
        <v>222</v>
      </c>
      <c r="B54" s="45" t="s">
        <v>143</v>
      </c>
      <c r="C54" s="45" t="s">
        <v>289</v>
      </c>
      <c r="D54" s="46">
        <v>100</v>
      </c>
      <c r="E54" s="102">
        <f>Пр.8!G57</f>
        <v>2050060</v>
      </c>
      <c r="F54" s="102">
        <f>Пр.8!H57</f>
        <v>1500000</v>
      </c>
    </row>
    <row r="55" spans="1:8" ht="110.25">
      <c r="A55" s="49" t="s">
        <v>221</v>
      </c>
      <c r="B55" s="45" t="s">
        <v>143</v>
      </c>
      <c r="C55" s="45" t="s">
        <v>290</v>
      </c>
      <c r="D55" s="46">
        <v>100</v>
      </c>
      <c r="E55" s="102">
        <f>Пр.8!G58</f>
        <v>0</v>
      </c>
      <c r="F55" s="102">
        <f>Пр.8!H58</f>
        <v>0</v>
      </c>
    </row>
    <row r="56" spans="1:8" ht="47.25">
      <c r="A56" s="49" t="s">
        <v>513</v>
      </c>
      <c r="B56" s="45" t="s">
        <v>143</v>
      </c>
      <c r="C56" s="45" t="s">
        <v>289</v>
      </c>
      <c r="D56" s="46">
        <v>200</v>
      </c>
      <c r="E56" s="102">
        <f>Пр.8!G59</f>
        <v>1450000</v>
      </c>
      <c r="F56" s="102">
        <f>Пр.8!H59</f>
        <v>1000000</v>
      </c>
    </row>
    <row r="57" spans="1:8" ht="47.25">
      <c r="A57" s="370" t="s">
        <v>606</v>
      </c>
      <c r="B57" s="45" t="s">
        <v>143</v>
      </c>
      <c r="C57" s="45" t="s">
        <v>605</v>
      </c>
      <c r="D57" s="352">
        <v>200</v>
      </c>
      <c r="E57" s="102">
        <f>Пр.8!G60</f>
        <v>500000</v>
      </c>
      <c r="F57" s="102"/>
    </row>
    <row r="58" spans="1:8" ht="47.25">
      <c r="A58" s="49" t="s">
        <v>223</v>
      </c>
      <c r="B58" s="45" t="s">
        <v>143</v>
      </c>
      <c r="C58" s="45" t="s">
        <v>289</v>
      </c>
      <c r="D58" s="46">
        <v>800</v>
      </c>
      <c r="E58" s="102">
        <v>50000</v>
      </c>
      <c r="F58" s="102">
        <f>Пр.8!H61</f>
        <v>50000</v>
      </c>
    </row>
    <row r="59" spans="1:8" s="26" customFormat="1" ht="31.5">
      <c r="A59" s="38" t="s">
        <v>205</v>
      </c>
      <c r="B59" s="47"/>
      <c r="C59" s="47" t="s">
        <v>291</v>
      </c>
      <c r="D59" s="97"/>
      <c r="E59" s="108">
        <f>E60</f>
        <v>100000</v>
      </c>
      <c r="F59" s="108">
        <f>F60</f>
        <v>0</v>
      </c>
    </row>
    <row r="60" spans="1:8" ht="47.25">
      <c r="A60" s="49" t="s">
        <v>514</v>
      </c>
      <c r="B60" s="45" t="s">
        <v>383</v>
      </c>
      <c r="C60" s="45" t="s">
        <v>292</v>
      </c>
      <c r="D60" s="46">
        <v>200</v>
      </c>
      <c r="E60" s="107">
        <f>Пр.8!G72</f>
        <v>100000</v>
      </c>
      <c r="F60" s="107">
        <f>Пр.8!H72</f>
        <v>0</v>
      </c>
    </row>
    <row r="61" spans="1:8" s="26" customFormat="1" ht="31.5">
      <c r="A61" s="38" t="s">
        <v>206</v>
      </c>
      <c r="B61" s="47"/>
      <c r="C61" s="47" t="s">
        <v>293</v>
      </c>
      <c r="D61" s="97"/>
      <c r="E61" s="108">
        <f>E62</f>
        <v>500000</v>
      </c>
      <c r="F61" s="108">
        <f>F62</f>
        <v>0</v>
      </c>
    </row>
    <row r="62" spans="1:8" ht="47.25">
      <c r="A62" s="49" t="s">
        <v>522</v>
      </c>
      <c r="B62" s="45" t="s">
        <v>141</v>
      </c>
      <c r="C62" s="45" t="s">
        <v>294</v>
      </c>
      <c r="D62" s="46">
        <v>200</v>
      </c>
      <c r="E62" s="107">
        <f>Пр.8!G74</f>
        <v>500000</v>
      </c>
      <c r="F62" s="107">
        <f>Пр.8!H74</f>
        <v>0</v>
      </c>
    </row>
    <row r="63" spans="1:8" s="26" customFormat="1" ht="31.5">
      <c r="A63" s="38" t="s">
        <v>228</v>
      </c>
      <c r="B63" s="47"/>
      <c r="C63" s="47" t="s">
        <v>295</v>
      </c>
      <c r="D63" s="97"/>
      <c r="E63" s="108">
        <f>E64+E65+E66+E67</f>
        <v>817300.6</v>
      </c>
      <c r="F63" s="108">
        <f>F64+F65+F66+F67</f>
        <v>817300.6</v>
      </c>
    </row>
    <row r="64" spans="1:8" ht="110.25">
      <c r="A64" s="49" t="s">
        <v>229</v>
      </c>
      <c r="B64" s="45" t="s">
        <v>143</v>
      </c>
      <c r="C64" s="45" t="s">
        <v>459</v>
      </c>
      <c r="D64" s="46">
        <v>100</v>
      </c>
      <c r="E64" s="107">
        <f>Пр.8!G63</f>
        <v>663379.56000000006</v>
      </c>
      <c r="F64" s="107">
        <f>Пр.8!H63</f>
        <v>663379.56000000006</v>
      </c>
      <c r="G64" s="20"/>
      <c r="H64" s="20"/>
    </row>
    <row r="65" spans="1:6" ht="63">
      <c r="A65" s="49" t="s">
        <v>516</v>
      </c>
      <c r="B65" s="45" t="s">
        <v>143</v>
      </c>
      <c r="C65" s="45" t="s">
        <v>459</v>
      </c>
      <c r="D65" s="46">
        <v>200</v>
      </c>
      <c r="E65" s="107">
        <f>Пр.8!G64</f>
        <v>153921.03999999992</v>
      </c>
      <c r="F65" s="107">
        <f>Пр.8!H64</f>
        <v>153921.03999999992</v>
      </c>
    </row>
    <row r="66" spans="1:6" ht="126">
      <c r="A66" s="49" t="s">
        <v>230</v>
      </c>
      <c r="B66" s="45" t="s">
        <v>143</v>
      </c>
      <c r="C66" s="45" t="s">
        <v>296</v>
      </c>
      <c r="D66" s="46">
        <v>100</v>
      </c>
      <c r="E66" s="107">
        <f>Пр.8!G65</f>
        <v>0</v>
      </c>
      <c r="F66" s="107">
        <f>Пр.8!H65</f>
        <v>0</v>
      </c>
    </row>
    <row r="67" spans="1:6" ht="126">
      <c r="A67" s="49" t="s">
        <v>231</v>
      </c>
      <c r="B67" s="45" t="s">
        <v>143</v>
      </c>
      <c r="C67" s="45" t="s">
        <v>297</v>
      </c>
      <c r="D67" s="46">
        <v>100</v>
      </c>
      <c r="E67" s="107">
        <f>Пр.8!G66</f>
        <v>0</v>
      </c>
      <c r="F67" s="107">
        <f>Пр.8!H66</f>
        <v>0</v>
      </c>
    </row>
    <row r="68" spans="1:6" s="26" customFormat="1" ht="31.5">
      <c r="A68" s="38" t="s">
        <v>233</v>
      </c>
      <c r="B68" s="47"/>
      <c r="C68" s="47" t="s">
        <v>298</v>
      </c>
      <c r="D68" s="97"/>
      <c r="E68" s="108">
        <f>E69</f>
        <v>1200000</v>
      </c>
      <c r="F68" s="108">
        <f>F69</f>
        <v>1200000</v>
      </c>
    </row>
    <row r="69" spans="1:6" ht="47.25">
      <c r="A69" s="49" t="s">
        <v>523</v>
      </c>
      <c r="B69" s="45" t="s">
        <v>143</v>
      </c>
      <c r="C69" s="45" t="s">
        <v>299</v>
      </c>
      <c r="D69" s="46">
        <v>200</v>
      </c>
      <c r="E69" s="107">
        <f>Пр.8!G68</f>
        <v>1200000</v>
      </c>
      <c r="F69" s="107">
        <f>Пр.8!H68</f>
        <v>1200000</v>
      </c>
    </row>
    <row r="70" spans="1:6" s="26" customFormat="1" ht="47.25">
      <c r="A70" s="38" t="s">
        <v>451</v>
      </c>
      <c r="B70" s="47" t="s">
        <v>143</v>
      </c>
      <c r="C70" s="47" t="s">
        <v>452</v>
      </c>
      <c r="D70" s="246"/>
      <c r="E70" s="101">
        <f>E71</f>
        <v>0</v>
      </c>
      <c r="F70" s="101">
        <f>F71</f>
        <v>0</v>
      </c>
    </row>
    <row r="71" spans="1:6" s="30" customFormat="1" ht="126">
      <c r="A71" s="49" t="s">
        <v>224</v>
      </c>
      <c r="B71" s="45" t="s">
        <v>143</v>
      </c>
      <c r="C71" s="45" t="s">
        <v>450</v>
      </c>
      <c r="D71" s="245">
        <v>100</v>
      </c>
      <c r="E71" s="103">
        <f>Пр.8!G70</f>
        <v>0</v>
      </c>
      <c r="F71" s="103">
        <f>Пр.8!H70</f>
        <v>0</v>
      </c>
    </row>
    <row r="72" spans="1:6">
      <c r="A72" s="38" t="s">
        <v>213</v>
      </c>
      <c r="B72" s="47"/>
      <c r="C72" s="45"/>
      <c r="D72" s="46"/>
      <c r="E72" s="107"/>
      <c r="F72" s="107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abSelected="1" topLeftCell="A40" workbookViewId="0">
      <selection activeCell="B19" sqref="B19"/>
    </sheetView>
  </sheetViews>
  <sheetFormatPr defaultRowHeight="15"/>
  <cols>
    <col min="1" max="1" width="59.42578125" style="299" customWidth="1"/>
    <col min="2" max="2" width="10" style="299" customWidth="1"/>
    <col min="3" max="4" width="8.7109375" style="299" customWidth="1"/>
    <col min="5" max="5" width="13.42578125" style="381" customWidth="1"/>
    <col min="6" max="6" width="9.85546875" style="299" customWidth="1"/>
    <col min="7" max="7" width="22" style="299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587" t="s">
        <v>215</v>
      </c>
      <c r="F1" s="587"/>
      <c r="G1" s="587"/>
    </row>
    <row r="2" spans="1:11" ht="15.75">
      <c r="E2" s="588" t="s">
        <v>33</v>
      </c>
      <c r="F2" s="588"/>
      <c r="G2" s="588"/>
    </row>
    <row r="3" spans="1:11" ht="15.75">
      <c r="E3" s="588" t="s">
        <v>109</v>
      </c>
      <c r="F3" s="588"/>
      <c r="G3" s="588"/>
    </row>
    <row r="4" spans="1:11" ht="15.75">
      <c r="E4" s="588" t="s">
        <v>27</v>
      </c>
      <c r="F4" s="588"/>
      <c r="G4" s="588"/>
    </row>
    <row r="5" spans="1:11" ht="15.75">
      <c r="E5" s="588" t="s">
        <v>28</v>
      </c>
      <c r="F5" s="588"/>
      <c r="G5" s="588"/>
    </row>
    <row r="6" spans="1:11" ht="15.75">
      <c r="E6" s="588" t="s">
        <v>620</v>
      </c>
      <c r="F6" s="588"/>
      <c r="G6" s="588"/>
    </row>
    <row r="8" spans="1:11" ht="38.25" customHeight="1">
      <c r="A8" s="586" t="s">
        <v>593</v>
      </c>
      <c r="B8" s="586"/>
      <c r="C8" s="586"/>
      <c r="D8" s="586"/>
      <c r="E8" s="586"/>
      <c r="F8" s="586"/>
      <c r="G8" s="586"/>
    </row>
    <row r="10" spans="1:11" ht="82.5" customHeight="1">
      <c r="A10" s="362" t="s">
        <v>34</v>
      </c>
      <c r="B10" s="362" t="s">
        <v>161</v>
      </c>
      <c r="C10" s="362" t="s">
        <v>81</v>
      </c>
      <c r="D10" s="362" t="s">
        <v>162</v>
      </c>
      <c r="E10" s="363" t="s">
        <v>64</v>
      </c>
      <c r="F10" s="362" t="s">
        <v>65</v>
      </c>
      <c r="G10" s="362" t="s">
        <v>42</v>
      </c>
    </row>
    <row r="11" spans="1:11" ht="15.75">
      <c r="A11" s="362"/>
      <c r="B11" s="362"/>
      <c r="C11" s="362"/>
      <c r="D11" s="362"/>
      <c r="E11" s="363"/>
      <c r="F11" s="362"/>
      <c r="G11" s="364" t="s">
        <v>382</v>
      </c>
    </row>
    <row r="12" spans="1:11" s="25" customFormat="1" ht="60.75" customHeight="1">
      <c r="A12" s="304" t="s">
        <v>120</v>
      </c>
      <c r="B12" s="365">
        <v>923</v>
      </c>
      <c r="C12" s="366"/>
      <c r="D12" s="366"/>
      <c r="E12" s="366"/>
      <c r="F12" s="365"/>
      <c r="G12" s="367">
        <f>G13+G30+G34+G49+G63+G39</f>
        <v>18787259.75</v>
      </c>
    </row>
    <row r="13" spans="1:11" ht="15.75">
      <c r="A13" s="152" t="s">
        <v>66</v>
      </c>
      <c r="B13" s="428">
        <v>923</v>
      </c>
      <c r="C13" s="149" t="s">
        <v>82</v>
      </c>
      <c r="D13" s="149" t="s">
        <v>83</v>
      </c>
      <c r="E13" s="149"/>
      <c r="F13" s="428"/>
      <c r="G13" s="110">
        <f>G14+G16+G21+G25+G23</f>
        <v>6536000</v>
      </c>
      <c r="K13" s="20">
        <f>G14+G16</f>
        <v>6326000</v>
      </c>
    </row>
    <row r="14" spans="1:11" ht="47.25">
      <c r="A14" s="152" t="s">
        <v>67</v>
      </c>
      <c r="B14" s="428">
        <v>923</v>
      </c>
      <c r="C14" s="149" t="s">
        <v>82</v>
      </c>
      <c r="D14" s="149" t="s">
        <v>84</v>
      </c>
      <c r="E14" s="149"/>
      <c r="F14" s="428"/>
      <c r="G14" s="110">
        <f>G15</f>
        <v>1091000</v>
      </c>
      <c r="I14" s="20"/>
    </row>
    <row r="15" spans="1:11" ht="94.5">
      <c r="A15" s="306" t="s">
        <v>207</v>
      </c>
      <c r="B15" s="151">
        <v>923</v>
      </c>
      <c r="C15" s="96" t="s">
        <v>82</v>
      </c>
      <c r="D15" s="96" t="s">
        <v>84</v>
      </c>
      <c r="E15" s="96" t="s">
        <v>271</v>
      </c>
      <c r="F15" s="151">
        <v>100</v>
      </c>
      <c r="G15" s="368">
        <v>1091000</v>
      </c>
      <c r="K15" s="20"/>
    </row>
    <row r="16" spans="1:11" ht="63">
      <c r="A16" s="152" t="s">
        <v>80</v>
      </c>
      <c r="B16" s="428">
        <v>923</v>
      </c>
      <c r="C16" s="149" t="s">
        <v>82</v>
      </c>
      <c r="D16" s="149" t="s">
        <v>85</v>
      </c>
      <c r="E16" s="149"/>
      <c r="F16" s="428"/>
      <c r="G16" s="110">
        <f>G17</f>
        <v>5235000</v>
      </c>
    </row>
    <row r="17" spans="1:9" ht="15.75">
      <c r="A17" s="152" t="s">
        <v>68</v>
      </c>
      <c r="B17" s="428">
        <v>923</v>
      </c>
      <c r="C17" s="149" t="s">
        <v>82</v>
      </c>
      <c r="D17" s="149" t="s">
        <v>85</v>
      </c>
      <c r="E17" s="149"/>
      <c r="F17" s="428"/>
      <c r="G17" s="110">
        <f>SUM(G18:G20)</f>
        <v>5235000</v>
      </c>
      <c r="I17" s="20"/>
    </row>
    <row r="18" spans="1:9" ht="94.5">
      <c r="A18" s="306" t="s">
        <v>208</v>
      </c>
      <c r="B18" s="151">
        <v>923</v>
      </c>
      <c r="C18" s="96" t="s">
        <v>82</v>
      </c>
      <c r="D18" s="96" t="s">
        <v>85</v>
      </c>
      <c r="E18" s="96" t="s">
        <v>272</v>
      </c>
      <c r="F18" s="151">
        <v>100</v>
      </c>
      <c r="G18" s="109">
        <v>3930000</v>
      </c>
      <c r="I18" s="197"/>
    </row>
    <row r="19" spans="1:9" ht="47.25">
      <c r="A19" s="306" t="s">
        <v>502</v>
      </c>
      <c r="B19" s="151">
        <v>923</v>
      </c>
      <c r="C19" s="96" t="s">
        <v>82</v>
      </c>
      <c r="D19" s="96" t="s">
        <v>85</v>
      </c>
      <c r="E19" s="96" t="s">
        <v>272</v>
      </c>
      <c r="F19" s="151">
        <v>200</v>
      </c>
      <c r="G19" s="109">
        <f>1200000+пер.ост.!C23</f>
        <v>1280000</v>
      </c>
    </row>
    <row r="20" spans="1:9" ht="31.5">
      <c r="A20" s="306" t="s">
        <v>209</v>
      </c>
      <c r="B20" s="151">
        <v>923</v>
      </c>
      <c r="C20" s="96" t="s">
        <v>82</v>
      </c>
      <c r="D20" s="96" t="s">
        <v>85</v>
      </c>
      <c r="E20" s="96" t="s">
        <v>272</v>
      </c>
      <c r="F20" s="151">
        <v>800</v>
      </c>
      <c r="G20" s="109">
        <v>25000</v>
      </c>
    </row>
    <row r="21" spans="1:9" s="26" customFormat="1" ht="47.25">
      <c r="A21" s="369" t="s">
        <v>227</v>
      </c>
      <c r="B21" s="428">
        <v>923</v>
      </c>
      <c r="C21" s="149" t="s">
        <v>82</v>
      </c>
      <c r="D21" s="149" t="s">
        <v>87</v>
      </c>
      <c r="E21" s="149"/>
      <c r="F21" s="428"/>
      <c r="G21" s="110">
        <f>G22</f>
        <v>0</v>
      </c>
    </row>
    <row r="22" spans="1:9" s="26" customFormat="1" ht="78.75">
      <c r="A22" s="306" t="s">
        <v>210</v>
      </c>
      <c r="B22" s="151">
        <v>923</v>
      </c>
      <c r="C22" s="96" t="s">
        <v>82</v>
      </c>
      <c r="D22" s="96" t="s">
        <v>87</v>
      </c>
      <c r="E22" s="96" t="s">
        <v>276</v>
      </c>
      <c r="F22" s="151">
        <v>500</v>
      </c>
      <c r="G22" s="109">
        <f>безвозм.пост.!C68</f>
        <v>0</v>
      </c>
    </row>
    <row r="23" spans="1:9" s="26" customFormat="1" ht="15.75">
      <c r="A23" s="152" t="s">
        <v>303</v>
      </c>
      <c r="B23" s="428">
        <v>923</v>
      </c>
      <c r="C23" s="149" t="s">
        <v>82</v>
      </c>
      <c r="D23" s="149" t="s">
        <v>304</v>
      </c>
      <c r="E23" s="149" t="s">
        <v>305</v>
      </c>
      <c r="F23" s="428"/>
      <c r="G23" s="110">
        <f>G24</f>
        <v>100000</v>
      </c>
    </row>
    <row r="24" spans="1:9" s="26" customFormat="1" ht="63">
      <c r="A24" s="154" t="s">
        <v>306</v>
      </c>
      <c r="B24" s="151">
        <v>923</v>
      </c>
      <c r="C24" s="96" t="s">
        <v>82</v>
      </c>
      <c r="D24" s="96" t="s">
        <v>304</v>
      </c>
      <c r="E24" s="96" t="s">
        <v>305</v>
      </c>
      <c r="F24" s="151">
        <v>800</v>
      </c>
      <c r="G24" s="109">
        <v>100000</v>
      </c>
    </row>
    <row r="25" spans="1:9" ht="15.75">
      <c r="A25" s="152" t="s">
        <v>69</v>
      </c>
      <c r="B25" s="428">
        <v>923</v>
      </c>
      <c r="C25" s="149" t="s">
        <v>82</v>
      </c>
      <c r="D25" s="149">
        <v>13</v>
      </c>
      <c r="E25" s="149"/>
      <c r="F25" s="428"/>
      <c r="G25" s="110">
        <f>SUM(G26:G29)</f>
        <v>110000</v>
      </c>
    </row>
    <row r="26" spans="1:9" ht="83.25" customHeight="1">
      <c r="A26" s="154" t="s">
        <v>503</v>
      </c>
      <c r="B26" s="151">
        <v>923</v>
      </c>
      <c r="C26" s="96" t="s">
        <v>82</v>
      </c>
      <c r="D26" s="96">
        <v>13</v>
      </c>
      <c r="E26" s="96" t="s">
        <v>273</v>
      </c>
      <c r="F26" s="151">
        <v>200</v>
      </c>
      <c r="G26" s="109">
        <v>50000</v>
      </c>
    </row>
    <row r="27" spans="1:9" s="98" customFormat="1" ht="53.25" customHeight="1">
      <c r="A27" s="154" t="s">
        <v>504</v>
      </c>
      <c r="B27" s="151">
        <v>923</v>
      </c>
      <c r="C27" s="96" t="s">
        <v>82</v>
      </c>
      <c r="D27" s="96">
        <v>13</v>
      </c>
      <c r="E27" s="96" t="s">
        <v>274</v>
      </c>
      <c r="F27" s="151">
        <v>200</v>
      </c>
      <c r="G27" s="109">
        <v>60000</v>
      </c>
    </row>
    <row r="28" spans="1:9" s="98" customFormat="1" ht="36.75" customHeight="1">
      <c r="A28" s="295" t="s">
        <v>531</v>
      </c>
      <c r="B28" s="151">
        <v>923</v>
      </c>
      <c r="C28" s="96" t="s">
        <v>82</v>
      </c>
      <c r="D28" s="96" t="s">
        <v>541</v>
      </c>
      <c r="E28" s="96" t="s">
        <v>530</v>
      </c>
      <c r="F28" s="151">
        <v>200</v>
      </c>
      <c r="G28" s="109">
        <v>0</v>
      </c>
    </row>
    <row r="29" spans="1:9" s="98" customFormat="1" ht="63.75" customHeight="1">
      <c r="A29" s="169" t="s">
        <v>551</v>
      </c>
      <c r="B29" s="151">
        <v>923</v>
      </c>
      <c r="C29" s="96" t="s">
        <v>82</v>
      </c>
      <c r="D29" s="96" t="s">
        <v>541</v>
      </c>
      <c r="E29" s="96" t="s">
        <v>552</v>
      </c>
      <c r="F29" s="151">
        <v>200</v>
      </c>
      <c r="G29" s="109">
        <f>безвозм.пост.!C60</f>
        <v>0</v>
      </c>
    </row>
    <row r="30" spans="1:9" ht="15.75">
      <c r="A30" s="168" t="s">
        <v>70</v>
      </c>
      <c r="B30" s="428">
        <v>923</v>
      </c>
      <c r="C30" s="149" t="s">
        <v>84</v>
      </c>
      <c r="D30" s="149" t="s">
        <v>83</v>
      </c>
      <c r="E30" s="149"/>
      <c r="F30" s="428"/>
      <c r="G30" s="110">
        <f>G31</f>
        <v>252675</v>
      </c>
    </row>
    <row r="31" spans="1:9" ht="15.75">
      <c r="A31" s="152" t="s">
        <v>71</v>
      </c>
      <c r="B31" s="428">
        <v>923</v>
      </c>
      <c r="C31" s="149" t="s">
        <v>84</v>
      </c>
      <c r="D31" s="149" t="s">
        <v>88</v>
      </c>
      <c r="E31" s="149"/>
      <c r="F31" s="428"/>
      <c r="G31" s="110">
        <f>G32+G33</f>
        <v>252675</v>
      </c>
    </row>
    <row r="32" spans="1:9" ht="110.25">
      <c r="A32" s="306" t="s">
        <v>211</v>
      </c>
      <c r="B32" s="151">
        <v>923</v>
      </c>
      <c r="C32" s="96" t="s">
        <v>84</v>
      </c>
      <c r="D32" s="96" t="s">
        <v>88</v>
      </c>
      <c r="E32" s="96" t="s">
        <v>275</v>
      </c>
      <c r="F32" s="151">
        <v>100</v>
      </c>
      <c r="G32" s="109">
        <f>безвозм.пост.!C6+безвозм.пост.!C7</f>
        <v>221000</v>
      </c>
      <c r="H32" s="55"/>
      <c r="I32" s="197"/>
    </row>
    <row r="33" spans="1:8" ht="47.25">
      <c r="A33" s="306" t="s">
        <v>505</v>
      </c>
      <c r="B33" s="151">
        <v>923</v>
      </c>
      <c r="C33" s="96" t="s">
        <v>84</v>
      </c>
      <c r="D33" s="96" t="s">
        <v>88</v>
      </c>
      <c r="E33" s="96" t="s">
        <v>275</v>
      </c>
      <c r="F33" s="151">
        <v>200</v>
      </c>
      <c r="G33" s="109">
        <f>безвозм.пост.!C8</f>
        <v>31675</v>
      </c>
      <c r="H33" s="55"/>
    </row>
    <row r="34" spans="1:8" ht="31.5">
      <c r="A34" s="152" t="s">
        <v>72</v>
      </c>
      <c r="B34" s="428">
        <v>923</v>
      </c>
      <c r="C34" s="149" t="s">
        <v>88</v>
      </c>
      <c r="D34" s="149" t="s">
        <v>83</v>
      </c>
      <c r="E34" s="149"/>
      <c r="F34" s="428"/>
      <c r="G34" s="110">
        <f>G35+G37</f>
        <v>1495000</v>
      </c>
      <c r="H34" s="55"/>
    </row>
    <row r="35" spans="1:8" ht="15.75">
      <c r="A35" s="152" t="s">
        <v>73</v>
      </c>
      <c r="B35" s="428">
        <v>923</v>
      </c>
      <c r="C35" s="149" t="s">
        <v>88</v>
      </c>
      <c r="D35" s="149">
        <v>10</v>
      </c>
      <c r="E35" s="149"/>
      <c r="F35" s="428"/>
      <c r="G35" s="110">
        <f>G36</f>
        <v>1495000</v>
      </c>
      <c r="H35" s="55"/>
    </row>
    <row r="36" spans="1:8" ht="63">
      <c r="A36" s="569" t="s">
        <v>507</v>
      </c>
      <c r="B36" s="95">
        <v>923</v>
      </c>
      <c r="C36" s="91" t="s">
        <v>88</v>
      </c>
      <c r="D36" s="91">
        <v>10</v>
      </c>
      <c r="E36" s="91" t="s">
        <v>301</v>
      </c>
      <c r="F36" s="95">
        <v>200</v>
      </c>
      <c r="G36" s="523">
        <f>'план работы'!H22</f>
        <v>1495000</v>
      </c>
      <c r="H36" s="55"/>
    </row>
    <row r="37" spans="1:8" s="26" customFormat="1" ht="15.75">
      <c r="A37" s="294"/>
      <c r="B37" s="428"/>
      <c r="C37" s="149"/>
      <c r="D37" s="149"/>
      <c r="E37" s="149"/>
      <c r="F37" s="428"/>
      <c r="G37" s="110"/>
      <c r="H37" s="56"/>
    </row>
    <row r="38" spans="1:8" ht="15.75">
      <c r="A38" s="295"/>
      <c r="B38" s="151"/>
      <c r="C38" s="96"/>
      <c r="D38" s="96"/>
      <c r="E38" s="96"/>
      <c r="F38" s="151"/>
      <c r="G38" s="109"/>
      <c r="H38" s="55"/>
    </row>
    <row r="39" spans="1:8" s="26" customFormat="1" ht="15.75">
      <c r="A39" s="294" t="s">
        <v>74</v>
      </c>
      <c r="B39" s="428">
        <v>923</v>
      </c>
      <c r="C39" s="149" t="s">
        <v>85</v>
      </c>
      <c r="D39" s="149" t="s">
        <v>83</v>
      </c>
      <c r="E39" s="149"/>
      <c r="F39" s="428"/>
      <c r="G39" s="110">
        <f>G40+G42+G47</f>
        <v>4931964</v>
      </c>
      <c r="H39" s="56"/>
    </row>
    <row r="40" spans="1:8" s="359" customFormat="1" ht="15.75">
      <c r="A40" s="294" t="s">
        <v>540</v>
      </c>
      <c r="B40" s="428">
        <v>923</v>
      </c>
      <c r="C40" s="149" t="s">
        <v>85</v>
      </c>
      <c r="D40" s="149" t="s">
        <v>86</v>
      </c>
      <c r="E40" s="149"/>
      <c r="F40" s="428"/>
      <c r="G40" s="110">
        <f>G41</f>
        <v>0</v>
      </c>
      <c r="H40" s="358"/>
    </row>
    <row r="41" spans="1:8" s="359" customFormat="1" ht="63">
      <c r="A41" s="295" t="s">
        <v>538</v>
      </c>
      <c r="B41" s="151">
        <v>923</v>
      </c>
      <c r="C41" s="96" t="s">
        <v>85</v>
      </c>
      <c r="D41" s="96" t="s">
        <v>86</v>
      </c>
      <c r="E41" s="96" t="s">
        <v>545</v>
      </c>
      <c r="F41" s="151">
        <v>200</v>
      </c>
      <c r="G41" s="109">
        <f>безвозм.пост.!C20</f>
        <v>0</v>
      </c>
      <c r="H41" s="358"/>
    </row>
    <row r="42" spans="1:8" s="26" customFormat="1" ht="15.75">
      <c r="A42" s="294" t="s">
        <v>258</v>
      </c>
      <c r="B42" s="428">
        <v>923</v>
      </c>
      <c r="C42" s="149" t="s">
        <v>85</v>
      </c>
      <c r="D42" s="149" t="s">
        <v>259</v>
      </c>
      <c r="E42" s="149"/>
      <c r="F42" s="428"/>
      <c r="G42" s="110">
        <f>G43+G44+G45+G46</f>
        <v>4831964</v>
      </c>
      <c r="H42" s="56"/>
    </row>
    <row r="43" spans="1:8" s="359" customFormat="1" ht="132.75" customHeight="1">
      <c r="A43" s="295" t="s">
        <v>509</v>
      </c>
      <c r="B43" s="151">
        <v>923</v>
      </c>
      <c r="C43" s="96" t="s">
        <v>85</v>
      </c>
      <c r="D43" s="96" t="s">
        <v>259</v>
      </c>
      <c r="E43" s="96" t="s">
        <v>613</v>
      </c>
      <c r="F43" s="151">
        <v>200</v>
      </c>
      <c r="G43" s="109">
        <f>безвозм.пост.!C48</f>
        <v>652781</v>
      </c>
      <c r="H43" s="358"/>
    </row>
    <row r="44" spans="1:8" s="26" customFormat="1" ht="94.5">
      <c r="A44" s="259" t="s">
        <v>510</v>
      </c>
      <c r="B44" s="95">
        <v>923</v>
      </c>
      <c r="C44" s="91" t="s">
        <v>85</v>
      </c>
      <c r="D44" s="91" t="s">
        <v>259</v>
      </c>
      <c r="E44" s="91" t="s">
        <v>467</v>
      </c>
      <c r="F44" s="95">
        <v>200</v>
      </c>
      <c r="G44" s="523">
        <f>безвозм.пост.!C52</f>
        <v>1733447</v>
      </c>
      <c r="H44" s="56"/>
    </row>
    <row r="45" spans="1:8" s="359" customFormat="1" ht="124.5" customHeight="1">
      <c r="A45" s="295" t="s">
        <v>519</v>
      </c>
      <c r="B45" s="151">
        <v>923</v>
      </c>
      <c r="C45" s="96" t="s">
        <v>85</v>
      </c>
      <c r="D45" s="96" t="s">
        <v>259</v>
      </c>
      <c r="E45" s="96" t="s">
        <v>277</v>
      </c>
      <c r="F45" s="151">
        <v>200</v>
      </c>
      <c r="G45" s="109">
        <f>безвозм.пост.!C44</f>
        <v>1507005</v>
      </c>
      <c r="H45" s="358"/>
    </row>
    <row r="46" spans="1:8" s="359" customFormat="1" ht="63">
      <c r="A46" s="295" t="s">
        <v>520</v>
      </c>
      <c r="B46" s="151">
        <v>923</v>
      </c>
      <c r="C46" s="96" t="s">
        <v>85</v>
      </c>
      <c r="D46" s="96" t="s">
        <v>259</v>
      </c>
      <c r="E46" s="96" t="s">
        <v>278</v>
      </c>
      <c r="F46" s="151">
        <v>200</v>
      </c>
      <c r="G46" s="109">
        <f>безвозм.пост.!C46</f>
        <v>938731</v>
      </c>
      <c r="H46" s="358"/>
    </row>
    <row r="47" spans="1:8" s="26" customFormat="1" ht="15.75">
      <c r="A47" s="294" t="s">
        <v>488</v>
      </c>
      <c r="B47" s="428">
        <v>923</v>
      </c>
      <c r="C47" s="149" t="s">
        <v>85</v>
      </c>
      <c r="D47" s="149" t="s">
        <v>489</v>
      </c>
      <c r="E47" s="149"/>
      <c r="F47" s="428"/>
      <c r="G47" s="110">
        <f>G48</f>
        <v>100000</v>
      </c>
      <c r="H47" s="56"/>
    </row>
    <row r="48" spans="1:8" s="359" customFormat="1" ht="94.5">
      <c r="A48" s="295" t="s">
        <v>506</v>
      </c>
      <c r="B48" s="151">
        <v>923</v>
      </c>
      <c r="C48" s="96" t="s">
        <v>85</v>
      </c>
      <c r="D48" s="96" t="s">
        <v>489</v>
      </c>
      <c r="E48" s="96" t="s">
        <v>490</v>
      </c>
      <c r="F48" s="151">
        <v>200</v>
      </c>
      <c r="G48" s="109">
        <f>безвозм.пост.!C66</f>
        <v>100000</v>
      </c>
      <c r="H48" s="358"/>
    </row>
    <row r="49" spans="1:8" ht="15.75">
      <c r="A49" s="168" t="s">
        <v>75</v>
      </c>
      <c r="B49" s="428">
        <v>923</v>
      </c>
      <c r="C49" s="149" t="s">
        <v>86</v>
      </c>
      <c r="D49" s="149" t="s">
        <v>83</v>
      </c>
      <c r="E49" s="149"/>
      <c r="F49" s="428"/>
      <c r="G49" s="110">
        <f>G50+G57+G52</f>
        <v>5341620.75</v>
      </c>
      <c r="H49" s="55"/>
    </row>
    <row r="50" spans="1:8" ht="15.75">
      <c r="A50" s="168" t="s">
        <v>556</v>
      </c>
      <c r="B50" s="428">
        <v>923</v>
      </c>
      <c r="C50" s="149" t="s">
        <v>86</v>
      </c>
      <c r="D50" s="149" t="s">
        <v>82</v>
      </c>
      <c r="E50" s="149"/>
      <c r="F50" s="428"/>
      <c r="G50" s="110">
        <f>G51</f>
        <v>0</v>
      </c>
      <c r="H50" s="55"/>
    </row>
    <row r="51" spans="1:8" ht="94.5">
      <c r="A51" s="169" t="s">
        <v>555</v>
      </c>
      <c r="B51" s="151">
        <v>923</v>
      </c>
      <c r="C51" s="96" t="s">
        <v>86</v>
      </c>
      <c r="D51" s="96" t="s">
        <v>82</v>
      </c>
      <c r="E51" s="96" t="s">
        <v>554</v>
      </c>
      <c r="F51" s="151">
        <v>400</v>
      </c>
      <c r="G51" s="109">
        <f>безвозм.пост.!C62</f>
        <v>0</v>
      </c>
      <c r="H51" s="55"/>
    </row>
    <row r="52" spans="1:8" ht="15.75">
      <c r="A52" s="168" t="s">
        <v>253</v>
      </c>
      <c r="B52" s="428">
        <v>923</v>
      </c>
      <c r="C52" s="149" t="s">
        <v>86</v>
      </c>
      <c r="D52" s="149" t="s">
        <v>84</v>
      </c>
      <c r="E52" s="149"/>
      <c r="F52" s="428"/>
      <c r="G52" s="110">
        <f>G53+G54+G55+G56</f>
        <v>1866120.75</v>
      </c>
      <c r="H52" s="55"/>
    </row>
    <row r="53" spans="1:8" s="98" customFormat="1" ht="47.25">
      <c r="A53" s="169" t="s">
        <v>528</v>
      </c>
      <c r="B53" s="151">
        <v>923</v>
      </c>
      <c r="C53" s="96" t="s">
        <v>86</v>
      </c>
      <c r="D53" s="96" t="s">
        <v>84</v>
      </c>
      <c r="E53" s="96" t="s">
        <v>368</v>
      </c>
      <c r="F53" s="151">
        <v>200</v>
      </c>
      <c r="G53" s="109">
        <f>безвозм.пост.!C42</f>
        <v>835000</v>
      </c>
      <c r="H53" s="384"/>
    </row>
    <row r="54" spans="1:8" s="98" customFormat="1" ht="63.75" thickBot="1">
      <c r="A54" s="305" t="s">
        <v>529</v>
      </c>
      <c r="B54" s="151">
        <v>923</v>
      </c>
      <c r="C54" s="96" t="s">
        <v>86</v>
      </c>
      <c r="D54" s="96" t="s">
        <v>84</v>
      </c>
      <c r="E54" s="96" t="s">
        <v>500</v>
      </c>
      <c r="F54" s="151">
        <v>200</v>
      </c>
      <c r="G54" s="109">
        <f>безвозм.пост.!C56</f>
        <v>60000</v>
      </c>
      <c r="H54" s="384"/>
    </row>
    <row r="55" spans="1:8" s="98" customFormat="1" ht="47.25">
      <c r="A55" s="169" t="s">
        <v>557</v>
      </c>
      <c r="B55" s="151">
        <v>923</v>
      </c>
      <c r="C55" s="96" t="s">
        <v>86</v>
      </c>
      <c r="D55" s="96" t="s">
        <v>84</v>
      </c>
      <c r="E55" s="96" t="s">
        <v>558</v>
      </c>
      <c r="F55" s="151"/>
      <c r="G55" s="109">
        <f>безвозм.пост.!C58</f>
        <v>0</v>
      </c>
      <c r="H55" s="384"/>
    </row>
    <row r="56" spans="1:8" s="98" customFormat="1" ht="63">
      <c r="A56" s="169" t="s">
        <v>567</v>
      </c>
      <c r="B56" s="151">
        <v>923</v>
      </c>
      <c r="C56" s="96" t="s">
        <v>86</v>
      </c>
      <c r="D56" s="96" t="s">
        <v>84</v>
      </c>
      <c r="E56" s="96" t="s">
        <v>570</v>
      </c>
      <c r="F56" s="151">
        <v>200</v>
      </c>
      <c r="G56" s="109">
        <f>безвозм.пост.!C64</f>
        <v>971120.75</v>
      </c>
      <c r="H56" s="384"/>
    </row>
    <row r="57" spans="1:8" ht="20.25" customHeight="1">
      <c r="A57" s="152" t="s">
        <v>76</v>
      </c>
      <c r="B57" s="428">
        <v>923</v>
      </c>
      <c r="C57" s="149" t="s">
        <v>86</v>
      </c>
      <c r="D57" s="149" t="s">
        <v>88</v>
      </c>
      <c r="E57" s="149"/>
      <c r="F57" s="428"/>
      <c r="G57" s="110">
        <f>SUM(G58:G61)</f>
        <v>3475500</v>
      </c>
      <c r="H57" s="55"/>
    </row>
    <row r="58" spans="1:8" ht="47.25">
      <c r="A58" s="370" t="s">
        <v>508</v>
      </c>
      <c r="B58" s="151">
        <v>923</v>
      </c>
      <c r="C58" s="96" t="s">
        <v>86</v>
      </c>
      <c r="D58" s="96" t="s">
        <v>88</v>
      </c>
      <c r="E58" s="96" t="s">
        <v>284</v>
      </c>
      <c r="F58" s="151">
        <v>200</v>
      </c>
      <c r="G58" s="109">
        <f>'план работы'!H6</f>
        <v>230000</v>
      </c>
      <c r="H58" s="55"/>
    </row>
    <row r="59" spans="1:8" ht="63.75" thickBot="1">
      <c r="A59" s="568" t="s">
        <v>511</v>
      </c>
      <c r="B59" s="95">
        <v>923</v>
      </c>
      <c r="C59" s="91" t="s">
        <v>86</v>
      </c>
      <c r="D59" s="91" t="s">
        <v>88</v>
      </c>
      <c r="E59" s="91" t="s">
        <v>286</v>
      </c>
      <c r="F59" s="95">
        <v>200</v>
      </c>
      <c r="G59" s="523">
        <f>'план работы'!H8</f>
        <v>1971000</v>
      </c>
      <c r="H59" s="55"/>
    </row>
    <row r="60" spans="1:8" s="153" customFormat="1" ht="31.5">
      <c r="A60" s="169" t="s">
        <v>524</v>
      </c>
      <c r="B60" s="151">
        <v>923</v>
      </c>
      <c r="C60" s="96" t="s">
        <v>86</v>
      </c>
      <c r="D60" s="96" t="s">
        <v>88</v>
      </c>
      <c r="E60" s="96" t="s">
        <v>369</v>
      </c>
      <c r="F60" s="151"/>
      <c r="G60" s="109">
        <f>безвозм.пост.!C50</f>
        <v>424500</v>
      </c>
      <c r="H60" s="539"/>
    </row>
    <row r="61" spans="1:8" s="98" customFormat="1" ht="48.75" customHeight="1">
      <c r="A61" s="546" t="s">
        <v>661</v>
      </c>
      <c r="B61" s="151">
        <v>923</v>
      </c>
      <c r="C61" s="96" t="s">
        <v>86</v>
      </c>
      <c r="D61" s="96" t="s">
        <v>88</v>
      </c>
      <c r="E61" s="96" t="s">
        <v>660</v>
      </c>
      <c r="F61" s="151"/>
      <c r="G61" s="109">
        <f>безвозм.пост.!C16+безвозм.пост.!C17+безвозм.пост.!C18</f>
        <v>850000</v>
      </c>
      <c r="H61" s="384"/>
    </row>
    <row r="62" spans="1:8" s="26" customFormat="1" ht="15.75">
      <c r="A62" s="369" t="s">
        <v>146</v>
      </c>
      <c r="B62" s="428">
        <v>923</v>
      </c>
      <c r="C62" s="149" t="s">
        <v>163</v>
      </c>
      <c r="D62" s="149" t="s">
        <v>83</v>
      </c>
      <c r="E62" s="149"/>
      <c r="F62" s="428"/>
      <c r="G62" s="110">
        <f>G63</f>
        <v>230000</v>
      </c>
      <c r="H62" s="56"/>
    </row>
    <row r="63" spans="1:8" ht="15.75">
      <c r="A63" s="152" t="s">
        <v>77</v>
      </c>
      <c r="B63" s="428">
        <v>923</v>
      </c>
      <c r="C63" s="149">
        <v>10</v>
      </c>
      <c r="D63" s="149" t="s">
        <v>82</v>
      </c>
      <c r="E63" s="96"/>
      <c r="F63" s="151"/>
      <c r="G63" s="110">
        <f>G64</f>
        <v>230000</v>
      </c>
      <c r="H63" s="55"/>
    </row>
    <row r="64" spans="1:8" ht="47.25">
      <c r="A64" s="306" t="s">
        <v>212</v>
      </c>
      <c r="B64" s="428">
        <v>923</v>
      </c>
      <c r="C64" s="149">
        <v>10</v>
      </c>
      <c r="D64" s="149" t="s">
        <v>82</v>
      </c>
      <c r="E64" s="96" t="s">
        <v>300</v>
      </c>
      <c r="F64" s="151">
        <v>300</v>
      </c>
      <c r="G64" s="109">
        <v>230000</v>
      </c>
      <c r="H64" s="55"/>
    </row>
    <row r="65" spans="1:10" s="25" customFormat="1" ht="62.25" customHeight="1">
      <c r="A65" s="304" t="s">
        <v>123</v>
      </c>
      <c r="B65" s="365">
        <v>923</v>
      </c>
      <c r="C65" s="366"/>
      <c r="D65" s="366"/>
      <c r="E65" s="371"/>
      <c r="F65" s="372"/>
      <c r="G65" s="373">
        <f>G66+G85+G87+G89</f>
        <v>12550803.68</v>
      </c>
      <c r="H65" s="57"/>
    </row>
    <row r="66" spans="1:10" ht="15.75">
      <c r="A66" s="152" t="s">
        <v>423</v>
      </c>
      <c r="B66" s="428">
        <v>923</v>
      </c>
      <c r="C66" s="149" t="s">
        <v>89</v>
      </c>
      <c r="D66" s="149" t="s">
        <v>83</v>
      </c>
      <c r="E66" s="149"/>
      <c r="F66" s="428"/>
      <c r="G66" s="110">
        <f>G67</f>
        <v>11379803.68</v>
      </c>
      <c r="H66" s="55"/>
    </row>
    <row r="67" spans="1:10" ht="15.75">
      <c r="A67" s="152" t="s">
        <v>78</v>
      </c>
      <c r="B67" s="428">
        <v>923</v>
      </c>
      <c r="C67" s="149" t="s">
        <v>89</v>
      </c>
      <c r="D67" s="149" t="s">
        <v>82</v>
      </c>
      <c r="E67" s="149"/>
      <c r="F67" s="428"/>
      <c r="G67" s="110">
        <f>G68+G76+G81+G83</f>
        <v>11379803.68</v>
      </c>
      <c r="H67" s="55"/>
    </row>
    <row r="68" spans="1:10" s="26" customFormat="1" ht="31.5">
      <c r="A68" s="152" t="s">
        <v>79</v>
      </c>
      <c r="B68" s="428">
        <v>923</v>
      </c>
      <c r="C68" s="149" t="s">
        <v>89</v>
      </c>
      <c r="D68" s="149" t="s">
        <v>82</v>
      </c>
      <c r="E68" s="149" t="s">
        <v>289</v>
      </c>
      <c r="F68" s="428"/>
      <c r="G68" s="110">
        <f>SUM(G69:G75)</f>
        <v>6280192.3899999997</v>
      </c>
    </row>
    <row r="69" spans="1:10" ht="94.5">
      <c r="A69" s="370" t="s">
        <v>222</v>
      </c>
      <c r="B69" s="151">
        <v>923</v>
      </c>
      <c r="C69" s="96" t="s">
        <v>89</v>
      </c>
      <c r="D69" s="96" t="s">
        <v>82</v>
      </c>
      <c r="E69" s="96" t="s">
        <v>289</v>
      </c>
      <c r="F69" s="151">
        <v>100</v>
      </c>
      <c r="G69" s="161">
        <f>2484160+пер.ост.!C21</f>
        <v>2534160</v>
      </c>
    </row>
    <row r="70" spans="1:10" ht="126">
      <c r="A70" s="370" t="s">
        <v>221</v>
      </c>
      <c r="B70" s="151">
        <v>923</v>
      </c>
      <c r="C70" s="96" t="s">
        <v>89</v>
      </c>
      <c r="D70" s="96" t="s">
        <v>82</v>
      </c>
      <c r="E70" s="96" t="s">
        <v>290</v>
      </c>
      <c r="F70" s="151">
        <v>100</v>
      </c>
      <c r="G70" s="161">
        <v>48918</v>
      </c>
    </row>
    <row r="71" spans="1:10" ht="47.25">
      <c r="A71" s="370" t="s">
        <v>513</v>
      </c>
      <c r="B71" s="151">
        <v>923</v>
      </c>
      <c r="C71" s="96" t="s">
        <v>89</v>
      </c>
      <c r="D71" s="96" t="s">
        <v>82</v>
      </c>
      <c r="E71" s="96" t="s">
        <v>289</v>
      </c>
      <c r="F71" s="151">
        <v>200</v>
      </c>
      <c r="G71" s="161">
        <f>1300000+'план работы'!H65+'план работы'!H66+пер.ост.!B13+пер.ост.!B14+'план работы'!H64+'план работы'!H70</f>
        <v>2002680</v>
      </c>
      <c r="I71" s="20"/>
      <c r="J71" s="20"/>
    </row>
    <row r="72" spans="1:10" ht="47.25">
      <c r="A72" s="370" t="s">
        <v>606</v>
      </c>
      <c r="B72" s="151">
        <v>923</v>
      </c>
      <c r="C72" s="96" t="s">
        <v>89</v>
      </c>
      <c r="D72" s="96" t="s">
        <v>82</v>
      </c>
      <c r="E72" s="96" t="s">
        <v>605</v>
      </c>
      <c r="F72" s="151">
        <v>200</v>
      </c>
      <c r="G72" s="161">
        <f>'план работы'!H48-'план работы'!H71</f>
        <v>765000</v>
      </c>
      <c r="I72" s="20"/>
      <c r="J72" s="20"/>
    </row>
    <row r="73" spans="1:10" ht="31.5">
      <c r="A73" s="370" t="s">
        <v>635</v>
      </c>
      <c r="B73" s="151">
        <v>923</v>
      </c>
      <c r="C73" s="96" t="s">
        <v>89</v>
      </c>
      <c r="D73" s="96" t="s">
        <v>82</v>
      </c>
      <c r="E73" s="96" t="s">
        <v>636</v>
      </c>
      <c r="F73" s="151">
        <v>200</v>
      </c>
      <c r="G73" s="161">
        <f>'план работы'!H68</f>
        <v>888434.39</v>
      </c>
      <c r="I73" s="20"/>
      <c r="J73" s="20"/>
    </row>
    <row r="74" spans="1:10" ht="47.25">
      <c r="A74" s="370" t="s">
        <v>223</v>
      </c>
      <c r="B74" s="151">
        <v>923</v>
      </c>
      <c r="C74" s="96" t="s">
        <v>89</v>
      </c>
      <c r="D74" s="96" t="s">
        <v>82</v>
      </c>
      <c r="E74" s="96" t="s">
        <v>289</v>
      </c>
      <c r="F74" s="151">
        <v>800</v>
      </c>
      <c r="G74" s="161">
        <v>41000</v>
      </c>
    </row>
    <row r="75" spans="1:10" ht="47.25">
      <c r="A75" s="154" t="s">
        <v>469</v>
      </c>
      <c r="B75" s="96" t="s">
        <v>470</v>
      </c>
      <c r="C75" s="96" t="s">
        <v>89</v>
      </c>
      <c r="D75" s="151">
        <v>1</v>
      </c>
      <c r="E75" s="96" t="s">
        <v>468</v>
      </c>
      <c r="F75" s="151">
        <v>200</v>
      </c>
      <c r="G75" s="374">
        <f>безвозм.пост.!C54</f>
        <v>0</v>
      </c>
    </row>
    <row r="76" spans="1:10" s="153" customFormat="1" ht="15.75">
      <c r="A76" s="152" t="s">
        <v>232</v>
      </c>
      <c r="B76" s="428">
        <v>923</v>
      </c>
      <c r="C76" s="170" t="s">
        <v>89</v>
      </c>
      <c r="D76" s="170" t="s">
        <v>82</v>
      </c>
      <c r="E76" s="170" t="s">
        <v>302</v>
      </c>
      <c r="F76" s="427"/>
      <c r="G76" s="174">
        <f>G77+G78+G79+G80</f>
        <v>1770229.29</v>
      </c>
    </row>
    <row r="77" spans="1:10" s="98" customFormat="1" ht="126">
      <c r="A77" s="154" t="s">
        <v>229</v>
      </c>
      <c r="B77" s="151">
        <v>923</v>
      </c>
      <c r="C77" s="160" t="s">
        <v>89</v>
      </c>
      <c r="D77" s="160" t="s">
        <v>82</v>
      </c>
      <c r="E77" s="96" t="s">
        <v>459</v>
      </c>
      <c r="F77" s="151">
        <v>100</v>
      </c>
      <c r="G77" s="161">
        <f>безвозм.пост.!C25+безвозм.пост.!C26</f>
        <v>663379.56000000006</v>
      </c>
      <c r="I77" s="385"/>
    </row>
    <row r="78" spans="1:10" s="153" customFormat="1" ht="63">
      <c r="A78" s="154" t="s">
        <v>516</v>
      </c>
      <c r="B78" s="151">
        <v>923</v>
      </c>
      <c r="C78" s="160" t="s">
        <v>89</v>
      </c>
      <c r="D78" s="160" t="s">
        <v>82</v>
      </c>
      <c r="E78" s="96" t="s">
        <v>459</v>
      </c>
      <c r="F78" s="151">
        <v>200</v>
      </c>
      <c r="G78" s="161">
        <f>безвозм.пост.!C27</f>
        <v>596320</v>
      </c>
    </row>
    <row r="79" spans="1:10" s="153" customFormat="1" ht="126">
      <c r="A79" s="154" t="s">
        <v>230</v>
      </c>
      <c r="B79" s="151">
        <v>923</v>
      </c>
      <c r="C79" s="160" t="s">
        <v>89</v>
      </c>
      <c r="D79" s="160" t="s">
        <v>82</v>
      </c>
      <c r="E79" s="96" t="s">
        <v>296</v>
      </c>
      <c r="F79" s="151">
        <v>100</v>
      </c>
      <c r="G79" s="161">
        <f>безвозм.пост.!C32</f>
        <v>485003.25</v>
      </c>
    </row>
    <row r="80" spans="1:10" s="153" customFormat="1" ht="129.75" customHeight="1">
      <c r="A80" s="154" t="s">
        <v>231</v>
      </c>
      <c r="B80" s="151">
        <v>923</v>
      </c>
      <c r="C80" s="96" t="s">
        <v>89</v>
      </c>
      <c r="D80" s="96" t="s">
        <v>82</v>
      </c>
      <c r="E80" s="96" t="s">
        <v>297</v>
      </c>
      <c r="F80" s="151">
        <v>100</v>
      </c>
      <c r="G80" s="161">
        <f>безвозм.пост.!C36</f>
        <v>25526.48</v>
      </c>
    </row>
    <row r="81" spans="1:11" s="150" customFormat="1" ht="15.75">
      <c r="A81" s="152" t="s">
        <v>234</v>
      </c>
      <c r="B81" s="428">
        <v>923</v>
      </c>
      <c r="C81" s="170" t="s">
        <v>89</v>
      </c>
      <c r="D81" s="170" t="s">
        <v>82</v>
      </c>
      <c r="E81" s="170" t="s">
        <v>298</v>
      </c>
      <c r="F81" s="428"/>
      <c r="G81" s="171">
        <f>G82</f>
        <v>2400000</v>
      </c>
    </row>
    <row r="82" spans="1:11" s="153" customFormat="1" ht="48" thickBot="1">
      <c r="A82" s="154" t="s">
        <v>523</v>
      </c>
      <c r="B82" s="151">
        <v>923</v>
      </c>
      <c r="C82" s="160" t="s">
        <v>89</v>
      </c>
      <c r="D82" s="160" t="s">
        <v>82</v>
      </c>
      <c r="E82" s="96" t="s">
        <v>299</v>
      </c>
      <c r="F82" s="151">
        <v>200</v>
      </c>
      <c r="G82" s="172">
        <f>безвозм.пост.!C40</f>
        <v>2400000</v>
      </c>
    </row>
    <row r="83" spans="1:11" s="153" customFormat="1" ht="47.25">
      <c r="A83" s="152" t="s">
        <v>461</v>
      </c>
      <c r="B83" s="428">
        <v>923</v>
      </c>
      <c r="C83" s="170" t="s">
        <v>89</v>
      </c>
      <c r="D83" s="170" t="s">
        <v>82</v>
      </c>
      <c r="E83" s="149" t="s">
        <v>452</v>
      </c>
      <c r="F83" s="428"/>
      <c r="G83" s="300">
        <f>G84</f>
        <v>929382</v>
      </c>
    </row>
    <row r="84" spans="1:11" s="153" customFormat="1" ht="126">
      <c r="A84" s="154" t="s">
        <v>224</v>
      </c>
      <c r="B84" s="151">
        <v>923</v>
      </c>
      <c r="C84" s="160" t="s">
        <v>89</v>
      </c>
      <c r="D84" s="160" t="s">
        <v>82</v>
      </c>
      <c r="E84" s="96" t="s">
        <v>450</v>
      </c>
      <c r="F84" s="151">
        <v>100</v>
      </c>
      <c r="G84" s="301">
        <f>безвозм.пост.!C9</f>
        <v>929382</v>
      </c>
    </row>
    <row r="85" spans="1:11" ht="31.5">
      <c r="A85" s="152" t="s">
        <v>424</v>
      </c>
      <c r="B85" s="428">
        <v>923</v>
      </c>
      <c r="C85" s="149">
        <v>11</v>
      </c>
      <c r="D85" s="149" t="s">
        <v>86</v>
      </c>
      <c r="E85" s="170" t="s">
        <v>291</v>
      </c>
      <c r="F85" s="151"/>
      <c r="G85" s="110">
        <f>G86</f>
        <v>100000</v>
      </c>
    </row>
    <row r="86" spans="1:11" ht="54" customHeight="1">
      <c r="A86" s="370" t="s">
        <v>514</v>
      </c>
      <c r="B86" s="151">
        <v>923</v>
      </c>
      <c r="C86" s="96">
        <v>11</v>
      </c>
      <c r="D86" s="96" t="s">
        <v>86</v>
      </c>
      <c r="E86" s="96" t="s">
        <v>292</v>
      </c>
      <c r="F86" s="151">
        <v>200</v>
      </c>
      <c r="G86" s="109">
        <v>100000</v>
      </c>
    </row>
    <row r="87" spans="1:11" ht="15.75">
      <c r="A87" s="375" t="s">
        <v>76</v>
      </c>
      <c r="B87" s="151">
        <v>923</v>
      </c>
      <c r="C87" s="376" t="s">
        <v>86</v>
      </c>
      <c r="D87" s="376" t="s">
        <v>88</v>
      </c>
      <c r="E87" s="170" t="s">
        <v>293</v>
      </c>
      <c r="F87" s="377"/>
      <c r="G87" s="378">
        <f>G88</f>
        <v>1071000</v>
      </c>
    </row>
    <row r="88" spans="1:11" ht="63">
      <c r="A88" s="154" t="s">
        <v>522</v>
      </c>
      <c r="B88" s="151">
        <v>923</v>
      </c>
      <c r="C88" s="96" t="s">
        <v>86</v>
      </c>
      <c r="D88" s="96" t="s">
        <v>88</v>
      </c>
      <c r="E88" s="96" t="s">
        <v>294</v>
      </c>
      <c r="F88" s="151"/>
      <c r="G88" s="109">
        <f>'план работы'!H37</f>
        <v>1071000</v>
      </c>
    </row>
    <row r="89" spans="1:11" s="26" customFormat="1" ht="78.75">
      <c r="A89" s="168" t="s">
        <v>649</v>
      </c>
      <c r="B89" s="428">
        <v>923</v>
      </c>
      <c r="C89" s="376" t="s">
        <v>89</v>
      </c>
      <c r="D89" s="376" t="s">
        <v>82</v>
      </c>
      <c r="E89" s="170" t="s">
        <v>650</v>
      </c>
      <c r="F89" s="536"/>
      <c r="G89" s="378">
        <f>G90</f>
        <v>0</v>
      </c>
    </row>
    <row r="90" spans="1:11" ht="63">
      <c r="A90" s="169" t="s">
        <v>648</v>
      </c>
      <c r="B90" s="151">
        <v>923</v>
      </c>
      <c r="C90" s="96" t="s">
        <v>89</v>
      </c>
      <c r="D90" s="96" t="s">
        <v>82</v>
      </c>
      <c r="E90" s="96" t="s">
        <v>651</v>
      </c>
      <c r="F90" s="151">
        <v>200</v>
      </c>
      <c r="G90" s="109">
        <f>безвозм.пост.!C14+пер.ост.!B7</f>
        <v>0</v>
      </c>
    </row>
    <row r="91" spans="1:11" ht="15.75">
      <c r="A91" s="379" t="s">
        <v>543</v>
      </c>
      <c r="B91" s="380"/>
      <c r="C91" s="160"/>
      <c r="D91" s="160"/>
      <c r="E91" s="160"/>
      <c r="F91" s="380"/>
      <c r="G91" s="174">
        <f>G12+G65</f>
        <v>31338063.43</v>
      </c>
      <c r="I91" s="20"/>
      <c r="K91" s="20"/>
    </row>
    <row r="92" spans="1:11">
      <c r="G92" s="382"/>
    </row>
    <row r="94" spans="1:11">
      <c r="G94" s="383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topLeftCell="A11" workbookViewId="0">
      <selection activeCell="B19" sqref="B19"/>
    </sheetView>
  </sheetViews>
  <sheetFormatPr defaultRowHeight="15"/>
  <cols>
    <col min="1" max="1" width="52.7109375" style="299" customWidth="1"/>
    <col min="2" max="2" width="10.7109375" style="299" customWidth="1"/>
    <col min="3" max="3" width="8.85546875" style="299" customWidth="1"/>
    <col min="4" max="4" width="7.85546875" style="299" customWidth="1"/>
    <col min="5" max="5" width="13.5703125" style="299" customWidth="1"/>
    <col min="6" max="6" width="10.42578125" style="299" customWidth="1"/>
    <col min="7" max="7" width="21" style="299" customWidth="1"/>
    <col min="8" max="8" width="21.28515625" style="299" customWidth="1"/>
    <col min="9" max="9" width="14.7109375" bestFit="1" customWidth="1"/>
  </cols>
  <sheetData>
    <row r="1" spans="1:8" ht="15.75">
      <c r="F1" s="587" t="s">
        <v>214</v>
      </c>
      <c r="G1" s="587"/>
      <c r="H1" s="587"/>
    </row>
    <row r="2" spans="1:8" ht="15.75">
      <c r="F2" s="588" t="s">
        <v>33</v>
      </c>
      <c r="G2" s="588"/>
      <c r="H2" s="588"/>
    </row>
    <row r="3" spans="1:8" ht="15.75">
      <c r="F3" s="588" t="s">
        <v>109</v>
      </c>
      <c r="G3" s="588"/>
      <c r="H3" s="588"/>
    </row>
    <row r="4" spans="1:8" ht="15.75">
      <c r="F4" s="588" t="s">
        <v>27</v>
      </c>
      <c r="G4" s="588"/>
      <c r="H4" s="588"/>
    </row>
    <row r="5" spans="1:8" ht="15.75">
      <c r="F5" s="588" t="s">
        <v>28</v>
      </c>
      <c r="G5" s="588"/>
      <c r="H5" s="588"/>
    </row>
    <row r="6" spans="1:8" ht="15.75">
      <c r="F6" s="588" t="s">
        <v>620</v>
      </c>
      <c r="G6" s="588"/>
      <c r="H6" s="588"/>
    </row>
    <row r="7" spans="1:8" ht="15.75">
      <c r="F7" s="429"/>
      <c r="G7" s="429"/>
      <c r="H7" s="429"/>
    </row>
    <row r="8" spans="1:8" ht="38.25" customHeight="1">
      <c r="A8" s="586" t="s">
        <v>594</v>
      </c>
      <c r="B8" s="586"/>
      <c r="C8" s="586"/>
      <c r="D8" s="586"/>
      <c r="E8" s="586"/>
      <c r="F8" s="586"/>
      <c r="G8" s="586"/>
      <c r="H8" s="586"/>
    </row>
    <row r="10" spans="1:8" ht="82.5" customHeight="1">
      <c r="A10" s="362" t="s">
        <v>34</v>
      </c>
      <c r="B10" s="362" t="s">
        <v>161</v>
      </c>
      <c r="C10" s="362" t="s">
        <v>81</v>
      </c>
      <c r="D10" s="362" t="s">
        <v>162</v>
      </c>
      <c r="E10" s="363" t="s">
        <v>64</v>
      </c>
      <c r="F10" s="362" t="s">
        <v>65</v>
      </c>
      <c r="G10" s="654" t="s">
        <v>133</v>
      </c>
      <c r="H10" s="654"/>
    </row>
    <row r="11" spans="1:8" ht="15.75">
      <c r="A11" s="362"/>
      <c r="B11" s="362"/>
      <c r="C11" s="362"/>
      <c r="D11" s="362"/>
      <c r="E11" s="363"/>
      <c r="F11" s="362"/>
      <c r="G11" s="501" t="s">
        <v>471</v>
      </c>
      <c r="H11" s="501" t="s">
        <v>584</v>
      </c>
    </row>
    <row r="12" spans="1:8" s="25" customFormat="1" ht="75">
      <c r="A12" s="304" t="s">
        <v>120</v>
      </c>
      <c r="B12" s="365">
        <v>923</v>
      </c>
      <c r="C12" s="366"/>
      <c r="D12" s="366"/>
      <c r="E12" s="366"/>
      <c r="F12" s="365"/>
      <c r="G12" s="367">
        <f>G13+G28+G32+G42+G51+G35</f>
        <v>11227639.4</v>
      </c>
      <c r="H12" s="367">
        <f>H13+H28+H32+H42+H51+H35</f>
        <v>6969599.4000000004</v>
      </c>
    </row>
    <row r="13" spans="1:8" ht="15.75">
      <c r="A13" s="152" t="s">
        <v>66</v>
      </c>
      <c r="B13" s="428">
        <v>923</v>
      </c>
      <c r="C13" s="149" t="s">
        <v>82</v>
      </c>
      <c r="D13" s="149" t="s">
        <v>83</v>
      </c>
      <c r="E13" s="149"/>
      <c r="F13" s="428"/>
      <c r="G13" s="110">
        <f>G14+G16+G21+G23+G25</f>
        <v>6137622.4000000004</v>
      </c>
      <c r="H13" s="110">
        <f>H14+H16+H21+H23+H25</f>
        <v>4481182.4000000004</v>
      </c>
    </row>
    <row r="14" spans="1:8" ht="47.25">
      <c r="A14" s="152" t="s">
        <v>67</v>
      </c>
      <c r="B14" s="428">
        <v>923</v>
      </c>
      <c r="C14" s="149" t="s">
        <v>82</v>
      </c>
      <c r="D14" s="149" t="s">
        <v>84</v>
      </c>
      <c r="E14" s="149"/>
      <c r="F14" s="428"/>
      <c r="G14" s="110">
        <f>G15</f>
        <v>1042000</v>
      </c>
      <c r="H14" s="110">
        <f>H15</f>
        <v>1000000</v>
      </c>
    </row>
    <row r="15" spans="1:8" ht="110.25">
      <c r="A15" s="154" t="s">
        <v>207</v>
      </c>
      <c r="B15" s="151">
        <v>923</v>
      </c>
      <c r="C15" s="96" t="s">
        <v>82</v>
      </c>
      <c r="D15" s="96" t="s">
        <v>84</v>
      </c>
      <c r="E15" s="96" t="s">
        <v>271</v>
      </c>
      <c r="F15" s="151">
        <v>100</v>
      </c>
      <c r="G15" s="368">
        <v>1042000</v>
      </c>
      <c r="H15" s="368">
        <v>1000000</v>
      </c>
    </row>
    <row r="16" spans="1:8" ht="63">
      <c r="A16" s="152" t="s">
        <v>80</v>
      </c>
      <c r="B16" s="428">
        <v>923</v>
      </c>
      <c r="C16" s="149" t="s">
        <v>82</v>
      </c>
      <c r="D16" s="149" t="s">
        <v>85</v>
      </c>
      <c r="E16" s="149"/>
      <c r="F16" s="428"/>
      <c r="G16" s="110">
        <f>G17</f>
        <v>4965000</v>
      </c>
      <c r="H16" s="110">
        <f>H17</f>
        <v>3381182.4</v>
      </c>
    </row>
    <row r="17" spans="1:8" ht="15.75">
      <c r="A17" s="152" t="s">
        <v>68</v>
      </c>
      <c r="B17" s="428">
        <v>923</v>
      </c>
      <c r="C17" s="149" t="s">
        <v>82</v>
      </c>
      <c r="D17" s="149" t="s">
        <v>85</v>
      </c>
      <c r="E17" s="149"/>
      <c r="F17" s="428"/>
      <c r="G17" s="110">
        <f>SUM(G18:G20)</f>
        <v>4965000</v>
      </c>
      <c r="H17" s="110">
        <f>SUM(H18:H20)</f>
        <v>3381182.4</v>
      </c>
    </row>
    <row r="18" spans="1:8" ht="94.5">
      <c r="A18" s="154" t="s">
        <v>208</v>
      </c>
      <c r="B18" s="151">
        <v>923</v>
      </c>
      <c r="C18" s="96" t="s">
        <v>82</v>
      </c>
      <c r="D18" s="96" t="s">
        <v>85</v>
      </c>
      <c r="E18" s="96" t="s">
        <v>272</v>
      </c>
      <c r="F18" s="151">
        <v>100</v>
      </c>
      <c r="G18" s="109">
        <v>3745000</v>
      </c>
      <c r="H18" s="109">
        <v>2700000</v>
      </c>
    </row>
    <row r="19" spans="1:8" ht="47.25">
      <c r="A19" s="154" t="s">
        <v>502</v>
      </c>
      <c r="B19" s="151">
        <v>923</v>
      </c>
      <c r="C19" s="96" t="s">
        <v>82</v>
      </c>
      <c r="D19" s="96" t="s">
        <v>85</v>
      </c>
      <c r="E19" s="96" t="s">
        <v>272</v>
      </c>
      <c r="F19" s="151">
        <v>200</v>
      </c>
      <c r="G19" s="109">
        <f>'Пр. 7'!G19-пер.ост.!C23</f>
        <v>1200000</v>
      </c>
      <c r="H19" s="109">
        <v>661182.4</v>
      </c>
    </row>
    <row r="20" spans="1:8" ht="47.25">
      <c r="A20" s="154" t="s">
        <v>209</v>
      </c>
      <c r="B20" s="151">
        <v>923</v>
      </c>
      <c r="C20" s="96" t="s">
        <v>82</v>
      </c>
      <c r="D20" s="96" t="s">
        <v>85</v>
      </c>
      <c r="E20" s="96" t="s">
        <v>272</v>
      </c>
      <c r="F20" s="151">
        <v>800</v>
      </c>
      <c r="G20" s="109">
        <v>20000</v>
      </c>
      <c r="H20" s="109">
        <f>G20</f>
        <v>20000</v>
      </c>
    </row>
    <row r="21" spans="1:8" ht="47.25">
      <c r="A21" s="152" t="s">
        <v>227</v>
      </c>
      <c r="B21" s="428">
        <v>923</v>
      </c>
      <c r="C21" s="149" t="s">
        <v>82</v>
      </c>
      <c r="D21" s="149" t="s">
        <v>87</v>
      </c>
      <c r="E21" s="149"/>
      <c r="F21" s="428"/>
      <c r="G21" s="110">
        <f>G22</f>
        <v>27491.279999999999</v>
      </c>
      <c r="H21" s="110">
        <f>H22</f>
        <v>0</v>
      </c>
    </row>
    <row r="22" spans="1:8" s="30" customFormat="1" ht="62.25" customHeight="1">
      <c r="A22" s="154" t="s">
        <v>210</v>
      </c>
      <c r="B22" s="151">
        <v>923</v>
      </c>
      <c r="C22" s="96" t="s">
        <v>82</v>
      </c>
      <c r="D22" s="96" t="s">
        <v>87</v>
      </c>
      <c r="E22" s="96" t="s">
        <v>276</v>
      </c>
      <c r="F22" s="151">
        <v>500</v>
      </c>
      <c r="G22" s="109">
        <f>безвозм.пост.!D68</f>
        <v>27491.279999999999</v>
      </c>
      <c r="H22" s="109">
        <f>безвозм.пост.!E68</f>
        <v>0</v>
      </c>
    </row>
    <row r="23" spans="1:8" s="26" customFormat="1" ht="15.75">
      <c r="A23" s="152" t="s">
        <v>303</v>
      </c>
      <c r="B23" s="428">
        <v>923</v>
      </c>
      <c r="C23" s="149" t="s">
        <v>82</v>
      </c>
      <c r="D23" s="149" t="s">
        <v>304</v>
      </c>
      <c r="E23" s="149" t="s">
        <v>305</v>
      </c>
      <c r="F23" s="428"/>
      <c r="G23" s="110">
        <f>G24</f>
        <v>100000</v>
      </c>
      <c r="H23" s="110">
        <f>H24</f>
        <v>100000</v>
      </c>
    </row>
    <row r="24" spans="1:8" s="30" customFormat="1" ht="62.25" customHeight="1">
      <c r="A24" s="154" t="s">
        <v>306</v>
      </c>
      <c r="B24" s="151">
        <v>923</v>
      </c>
      <c r="C24" s="96" t="s">
        <v>82</v>
      </c>
      <c r="D24" s="96" t="s">
        <v>304</v>
      </c>
      <c r="E24" s="96" t="s">
        <v>305</v>
      </c>
      <c r="F24" s="151">
        <v>800</v>
      </c>
      <c r="G24" s="109">
        <v>100000</v>
      </c>
      <c r="H24" s="109">
        <v>100000</v>
      </c>
    </row>
    <row r="25" spans="1:8" ht="15.75">
      <c r="A25" s="152" t="s">
        <v>69</v>
      </c>
      <c r="B25" s="428">
        <v>923</v>
      </c>
      <c r="C25" s="149" t="s">
        <v>82</v>
      </c>
      <c r="D25" s="149">
        <v>13</v>
      </c>
      <c r="E25" s="149"/>
      <c r="F25" s="428"/>
      <c r="G25" s="110">
        <f>SUM(G26:G27)</f>
        <v>3131.12</v>
      </c>
      <c r="H25" s="110">
        <f>SUM(H26:H27)</f>
        <v>0</v>
      </c>
    </row>
    <row r="26" spans="1:8" ht="78.75">
      <c r="A26" s="154" t="s">
        <v>503</v>
      </c>
      <c r="B26" s="151">
        <v>923</v>
      </c>
      <c r="C26" s="96" t="s">
        <v>82</v>
      </c>
      <c r="D26" s="96">
        <v>13</v>
      </c>
      <c r="E26" s="96" t="s">
        <v>273</v>
      </c>
      <c r="F26" s="151">
        <v>200</v>
      </c>
      <c r="G26" s="109">
        <v>2131.12</v>
      </c>
      <c r="H26" s="109">
        <v>0</v>
      </c>
    </row>
    <row r="27" spans="1:8" ht="63">
      <c r="A27" s="154" t="s">
        <v>525</v>
      </c>
      <c r="B27" s="151">
        <v>923</v>
      </c>
      <c r="C27" s="96" t="s">
        <v>82</v>
      </c>
      <c r="D27" s="96">
        <v>13</v>
      </c>
      <c r="E27" s="96" t="s">
        <v>274</v>
      </c>
      <c r="F27" s="151">
        <v>200</v>
      </c>
      <c r="G27" s="109">
        <v>1000</v>
      </c>
      <c r="H27" s="109">
        <v>0</v>
      </c>
    </row>
    <row r="28" spans="1:8" ht="15.75">
      <c r="A28" s="152" t="s">
        <v>70</v>
      </c>
      <c r="B28" s="428">
        <v>923</v>
      </c>
      <c r="C28" s="149" t="s">
        <v>84</v>
      </c>
      <c r="D28" s="149" t="s">
        <v>83</v>
      </c>
      <c r="E28" s="149"/>
      <c r="F28" s="428"/>
      <c r="G28" s="110">
        <f>G29</f>
        <v>246500</v>
      </c>
      <c r="H28" s="110">
        <f>H29</f>
        <v>254900</v>
      </c>
    </row>
    <row r="29" spans="1:8" ht="15.75">
      <c r="A29" s="152" t="s">
        <v>71</v>
      </c>
      <c r="B29" s="428">
        <v>923</v>
      </c>
      <c r="C29" s="149" t="s">
        <v>84</v>
      </c>
      <c r="D29" s="149" t="s">
        <v>88</v>
      </c>
      <c r="E29" s="149"/>
      <c r="F29" s="428"/>
      <c r="G29" s="110">
        <f>SUM(G30:G31)</f>
        <v>246500</v>
      </c>
      <c r="H29" s="110">
        <f>SUM(H30:H31)</f>
        <v>254900</v>
      </c>
    </row>
    <row r="30" spans="1:8" ht="110.25">
      <c r="A30" s="154" t="s">
        <v>211</v>
      </c>
      <c r="B30" s="151">
        <v>923</v>
      </c>
      <c r="C30" s="96" t="s">
        <v>84</v>
      </c>
      <c r="D30" s="96" t="s">
        <v>88</v>
      </c>
      <c r="E30" s="96" t="s">
        <v>275</v>
      </c>
      <c r="F30" s="151">
        <v>100</v>
      </c>
      <c r="G30" s="109">
        <f>безвозм.пост.!D6+безвозм.пост.!D7</f>
        <v>221000</v>
      </c>
      <c r="H30" s="109">
        <f>безвозм.пост.!E6+безвозм.пост.!E7</f>
        <v>221000</v>
      </c>
    </row>
    <row r="31" spans="1:8" ht="63">
      <c r="A31" s="154" t="s">
        <v>505</v>
      </c>
      <c r="B31" s="151">
        <v>923</v>
      </c>
      <c r="C31" s="96" t="s">
        <v>84</v>
      </c>
      <c r="D31" s="96" t="s">
        <v>88</v>
      </c>
      <c r="E31" s="96" t="s">
        <v>275</v>
      </c>
      <c r="F31" s="151">
        <v>200</v>
      </c>
      <c r="G31" s="109">
        <f>безвозм.пост.!D8</f>
        <v>25500</v>
      </c>
      <c r="H31" s="109">
        <f>безвозм.пост.!E8</f>
        <v>33900</v>
      </c>
    </row>
    <row r="32" spans="1:8" ht="31.5">
      <c r="A32" s="152" t="s">
        <v>72</v>
      </c>
      <c r="B32" s="428">
        <v>923</v>
      </c>
      <c r="C32" s="149" t="s">
        <v>88</v>
      </c>
      <c r="D32" s="149" t="s">
        <v>83</v>
      </c>
      <c r="E32" s="149"/>
      <c r="F32" s="428"/>
      <c r="G32" s="110">
        <f>G33</f>
        <v>1200000</v>
      </c>
      <c r="H32" s="110">
        <f>H33</f>
        <v>0</v>
      </c>
    </row>
    <row r="33" spans="1:8" ht="15.75">
      <c r="A33" s="152" t="s">
        <v>73</v>
      </c>
      <c r="B33" s="428">
        <v>923</v>
      </c>
      <c r="C33" s="149" t="s">
        <v>88</v>
      </c>
      <c r="D33" s="149">
        <v>10</v>
      </c>
      <c r="E33" s="149"/>
      <c r="F33" s="428"/>
      <c r="G33" s="110">
        <f>G34</f>
        <v>1200000</v>
      </c>
      <c r="H33" s="110">
        <f>H34</f>
        <v>0</v>
      </c>
    </row>
    <row r="34" spans="1:8" ht="78.75">
      <c r="A34" s="370" t="s">
        <v>507</v>
      </c>
      <c r="B34" s="151">
        <v>923</v>
      </c>
      <c r="C34" s="96" t="s">
        <v>88</v>
      </c>
      <c r="D34" s="96">
        <v>10</v>
      </c>
      <c r="E34" s="96" t="s">
        <v>280</v>
      </c>
      <c r="F34" s="151">
        <v>200</v>
      </c>
      <c r="G34" s="109">
        <v>1200000</v>
      </c>
      <c r="H34" s="109">
        <v>0</v>
      </c>
    </row>
    <row r="35" spans="1:8" ht="15.75">
      <c r="A35" s="502" t="s">
        <v>74</v>
      </c>
      <c r="B35" s="428">
        <v>923</v>
      </c>
      <c r="C35" s="149" t="s">
        <v>85</v>
      </c>
      <c r="D35" s="149" t="s">
        <v>83</v>
      </c>
      <c r="E35" s="149"/>
      <c r="F35" s="428"/>
      <c r="G35" s="110">
        <f>G36+G40</f>
        <v>1468517</v>
      </c>
      <c r="H35" s="110">
        <f>H36+H40</f>
        <v>1468517</v>
      </c>
    </row>
    <row r="36" spans="1:8" ht="15.75">
      <c r="A36" s="502" t="s">
        <v>258</v>
      </c>
      <c r="B36" s="428">
        <v>923</v>
      </c>
      <c r="C36" s="149" t="s">
        <v>85</v>
      </c>
      <c r="D36" s="149" t="s">
        <v>259</v>
      </c>
      <c r="E36" s="149"/>
      <c r="F36" s="428"/>
      <c r="G36" s="110">
        <f>G37+G38+G39</f>
        <v>1468517</v>
      </c>
      <c r="H36" s="110">
        <f>H37+H38+H39</f>
        <v>1468517</v>
      </c>
    </row>
    <row r="37" spans="1:8" ht="141.75">
      <c r="A37" s="295" t="s">
        <v>509</v>
      </c>
      <c r="B37" s="151">
        <v>923</v>
      </c>
      <c r="C37" s="96" t="s">
        <v>85</v>
      </c>
      <c r="D37" s="96" t="s">
        <v>259</v>
      </c>
      <c r="E37" s="96" t="s">
        <v>462</v>
      </c>
      <c r="F37" s="151">
        <v>200</v>
      </c>
      <c r="G37" s="109">
        <f>безвозм.пост.!D48</f>
        <v>322781</v>
      </c>
      <c r="H37" s="109">
        <f>безвозм.пост.!E48</f>
        <v>322781</v>
      </c>
    </row>
    <row r="38" spans="1:8" s="26" customFormat="1" ht="141.75">
      <c r="A38" s="370" t="s">
        <v>519</v>
      </c>
      <c r="B38" s="151">
        <v>923</v>
      </c>
      <c r="C38" s="96" t="s">
        <v>85</v>
      </c>
      <c r="D38" s="96" t="s">
        <v>259</v>
      </c>
      <c r="E38" s="96" t="s">
        <v>277</v>
      </c>
      <c r="F38" s="151">
        <v>200</v>
      </c>
      <c r="G38" s="109">
        <f>безвозм.пост.!D44</f>
        <v>450000</v>
      </c>
      <c r="H38" s="109">
        <f>безвозм.пост.!E44</f>
        <v>357005</v>
      </c>
    </row>
    <row r="39" spans="1:8" s="26" customFormat="1" ht="63">
      <c r="A39" s="370" t="s">
        <v>520</v>
      </c>
      <c r="B39" s="151">
        <v>923</v>
      </c>
      <c r="C39" s="96" t="s">
        <v>85</v>
      </c>
      <c r="D39" s="96" t="s">
        <v>259</v>
      </c>
      <c r="E39" s="96" t="s">
        <v>278</v>
      </c>
      <c r="F39" s="151">
        <v>200</v>
      </c>
      <c r="G39" s="109">
        <f>безвозм.пост.!D46</f>
        <v>695736</v>
      </c>
      <c r="H39" s="109">
        <f>безвозм.пост.!E46</f>
        <v>788731</v>
      </c>
    </row>
    <row r="40" spans="1:8" s="26" customFormat="1" ht="31.5">
      <c r="A40" s="294" t="s">
        <v>488</v>
      </c>
      <c r="B40" s="428">
        <v>923</v>
      </c>
      <c r="C40" s="149" t="s">
        <v>85</v>
      </c>
      <c r="D40" s="149" t="s">
        <v>489</v>
      </c>
      <c r="E40" s="149"/>
      <c r="F40" s="428"/>
      <c r="G40" s="110">
        <f>G41</f>
        <v>0</v>
      </c>
      <c r="H40" s="109">
        <f>H41</f>
        <v>0</v>
      </c>
    </row>
    <row r="41" spans="1:8" s="26" customFormat="1" ht="110.25">
      <c r="A41" s="295" t="s">
        <v>506</v>
      </c>
      <c r="B41" s="151">
        <v>923</v>
      </c>
      <c r="C41" s="96" t="s">
        <v>85</v>
      </c>
      <c r="D41" s="96" t="s">
        <v>489</v>
      </c>
      <c r="E41" s="96" t="s">
        <v>490</v>
      </c>
      <c r="F41" s="151">
        <v>200</v>
      </c>
      <c r="G41" s="109">
        <f>безвозм.пост.!D66</f>
        <v>0</v>
      </c>
      <c r="H41" s="109">
        <f>безвозм.пост.!E66</f>
        <v>0</v>
      </c>
    </row>
    <row r="42" spans="1:8" ht="15.75">
      <c r="A42" s="152" t="s">
        <v>75</v>
      </c>
      <c r="B42" s="428">
        <v>923</v>
      </c>
      <c r="C42" s="149" t="s">
        <v>86</v>
      </c>
      <c r="D42" s="149" t="s">
        <v>83</v>
      </c>
      <c r="E42" s="149"/>
      <c r="F42" s="428"/>
      <c r="G42" s="110">
        <f>G47+G43</f>
        <v>1945000</v>
      </c>
      <c r="H42" s="110">
        <f>H47+H43</f>
        <v>545000</v>
      </c>
    </row>
    <row r="43" spans="1:8" ht="15.75">
      <c r="A43" s="152" t="s">
        <v>253</v>
      </c>
      <c r="B43" s="428">
        <v>923</v>
      </c>
      <c r="C43" s="149" t="s">
        <v>86</v>
      </c>
      <c r="D43" s="149" t="s">
        <v>84</v>
      </c>
      <c r="E43" s="149"/>
      <c r="F43" s="428"/>
      <c r="G43" s="110">
        <f>G44+G45+G46</f>
        <v>545000</v>
      </c>
      <c r="H43" s="110">
        <f>H44+H45+H46</f>
        <v>545000</v>
      </c>
    </row>
    <row r="44" spans="1:8" s="26" customFormat="1" ht="47.25">
      <c r="A44" s="154" t="s">
        <v>526</v>
      </c>
      <c r="B44" s="151">
        <v>923</v>
      </c>
      <c r="C44" s="96" t="s">
        <v>86</v>
      </c>
      <c r="D44" s="96" t="s">
        <v>84</v>
      </c>
      <c r="E44" s="96" t="s">
        <v>368</v>
      </c>
      <c r="F44" s="151">
        <v>200</v>
      </c>
      <c r="G44" s="109">
        <f>безвозм.пост.!D42</f>
        <v>335000</v>
      </c>
      <c r="H44" s="109">
        <f>безвозм.пост.!E42</f>
        <v>335000</v>
      </c>
    </row>
    <row r="45" spans="1:8" s="30" customFormat="1" ht="79.5" thickBot="1">
      <c r="A45" s="305" t="s">
        <v>529</v>
      </c>
      <c r="B45" s="151">
        <v>923</v>
      </c>
      <c r="C45" s="96" t="s">
        <v>86</v>
      </c>
      <c r="D45" s="96" t="s">
        <v>84</v>
      </c>
      <c r="E45" s="96" t="s">
        <v>500</v>
      </c>
      <c r="F45" s="151"/>
      <c r="G45" s="109">
        <v>0</v>
      </c>
      <c r="H45" s="109">
        <v>0</v>
      </c>
    </row>
    <row r="46" spans="1:8" s="26" customFormat="1" ht="47.25">
      <c r="A46" s="169" t="s">
        <v>524</v>
      </c>
      <c r="B46" s="151">
        <v>923</v>
      </c>
      <c r="C46" s="96" t="s">
        <v>86</v>
      </c>
      <c r="D46" s="96" t="s">
        <v>88</v>
      </c>
      <c r="E46" s="96" t="s">
        <v>369</v>
      </c>
      <c r="F46" s="151"/>
      <c r="G46" s="109">
        <f>безвозм.пост.!D50</f>
        <v>210000</v>
      </c>
      <c r="H46" s="109">
        <f>безвозм.пост.!E50</f>
        <v>210000</v>
      </c>
    </row>
    <row r="47" spans="1:8" ht="15.75">
      <c r="A47" s="152" t="s">
        <v>76</v>
      </c>
      <c r="B47" s="428">
        <v>923</v>
      </c>
      <c r="C47" s="149" t="s">
        <v>86</v>
      </c>
      <c r="D47" s="149" t="s">
        <v>88</v>
      </c>
      <c r="E47" s="149"/>
      <c r="F47" s="428"/>
      <c r="G47" s="110">
        <f>SUM(G48:G49)</f>
        <v>1400000</v>
      </c>
      <c r="H47" s="110">
        <f>SUM(H48:H49)</f>
        <v>0</v>
      </c>
    </row>
    <row r="48" spans="1:8" ht="63">
      <c r="A48" s="370" t="s">
        <v>508</v>
      </c>
      <c r="B48" s="151">
        <v>923</v>
      </c>
      <c r="C48" s="96" t="s">
        <v>86</v>
      </c>
      <c r="D48" s="96" t="s">
        <v>88</v>
      </c>
      <c r="E48" s="96" t="s">
        <v>284</v>
      </c>
      <c r="F48" s="151">
        <v>200</v>
      </c>
      <c r="G48" s="109">
        <v>200000</v>
      </c>
      <c r="H48" s="109">
        <v>0</v>
      </c>
    </row>
    <row r="49" spans="1:8" ht="63">
      <c r="A49" s="370" t="s">
        <v>511</v>
      </c>
      <c r="B49" s="151">
        <v>923</v>
      </c>
      <c r="C49" s="96" t="s">
        <v>86</v>
      </c>
      <c r="D49" s="96" t="s">
        <v>88</v>
      </c>
      <c r="E49" s="96" t="s">
        <v>286</v>
      </c>
      <c r="F49" s="151">
        <v>200</v>
      </c>
      <c r="G49" s="109">
        <v>1200000</v>
      </c>
      <c r="H49" s="109">
        <v>0</v>
      </c>
    </row>
    <row r="50" spans="1:8" s="26" customFormat="1" ht="15.75">
      <c r="A50" s="152" t="s">
        <v>146</v>
      </c>
      <c r="B50" s="428">
        <v>923</v>
      </c>
      <c r="C50" s="149" t="s">
        <v>163</v>
      </c>
      <c r="D50" s="149" t="s">
        <v>83</v>
      </c>
      <c r="E50" s="149"/>
      <c r="F50" s="428"/>
      <c r="G50" s="110">
        <f>G51</f>
        <v>230000</v>
      </c>
      <c r="H50" s="110">
        <f>H51</f>
        <v>220000</v>
      </c>
    </row>
    <row r="51" spans="1:8" ht="15.75">
      <c r="A51" s="152" t="s">
        <v>77</v>
      </c>
      <c r="B51" s="428">
        <v>923</v>
      </c>
      <c r="C51" s="149">
        <v>10</v>
      </c>
      <c r="D51" s="149" t="s">
        <v>82</v>
      </c>
      <c r="E51" s="96"/>
      <c r="F51" s="151"/>
      <c r="G51" s="110">
        <f>G52</f>
        <v>230000</v>
      </c>
      <c r="H51" s="110">
        <f>H52</f>
        <v>220000</v>
      </c>
    </row>
    <row r="52" spans="1:8" s="26" customFormat="1" ht="63">
      <c r="A52" s="154" t="s">
        <v>212</v>
      </c>
      <c r="B52" s="151">
        <v>923</v>
      </c>
      <c r="C52" s="149">
        <v>10</v>
      </c>
      <c r="D52" s="149" t="s">
        <v>82</v>
      </c>
      <c r="E52" s="96" t="s">
        <v>300</v>
      </c>
      <c r="F52" s="151">
        <v>300</v>
      </c>
      <c r="G52" s="109">
        <v>230000</v>
      </c>
      <c r="H52" s="109">
        <v>220000</v>
      </c>
    </row>
    <row r="53" spans="1:8" ht="56.25">
      <c r="A53" s="304" t="s">
        <v>123</v>
      </c>
      <c r="B53" s="428">
        <v>923</v>
      </c>
      <c r="C53" s="366"/>
      <c r="D53" s="366"/>
      <c r="E53" s="371"/>
      <c r="F53" s="372"/>
      <c r="G53" s="373">
        <f>G54+G71+G73</f>
        <v>6677360.5999999996</v>
      </c>
      <c r="H53" s="373">
        <f>H54+H71+H73</f>
        <v>4567300.5999999996</v>
      </c>
    </row>
    <row r="54" spans="1:8" ht="15.75">
      <c r="A54" s="152" t="s">
        <v>423</v>
      </c>
      <c r="B54" s="428">
        <v>923</v>
      </c>
      <c r="C54" s="149" t="s">
        <v>89</v>
      </c>
      <c r="D54" s="149" t="s">
        <v>83</v>
      </c>
      <c r="E54" s="149"/>
      <c r="F54" s="428"/>
      <c r="G54" s="110">
        <f>G55</f>
        <v>6077360.5999999996</v>
      </c>
      <c r="H54" s="110">
        <f>H55</f>
        <v>4567300.5999999996</v>
      </c>
    </row>
    <row r="55" spans="1:8" ht="15.75">
      <c r="A55" s="152" t="s">
        <v>78</v>
      </c>
      <c r="B55" s="428">
        <v>923</v>
      </c>
      <c r="C55" s="149" t="s">
        <v>89</v>
      </c>
      <c r="D55" s="149" t="s">
        <v>82</v>
      </c>
      <c r="E55" s="149"/>
      <c r="F55" s="428"/>
      <c r="G55" s="110">
        <f>G56+G62+G67+G69</f>
        <v>6077360.5999999996</v>
      </c>
      <c r="H55" s="110">
        <f>H56+H62+H67</f>
        <v>4567300.5999999996</v>
      </c>
    </row>
    <row r="56" spans="1:8" ht="31.5">
      <c r="A56" s="152" t="s">
        <v>79</v>
      </c>
      <c r="B56" s="428">
        <v>923</v>
      </c>
      <c r="C56" s="149" t="s">
        <v>89</v>
      </c>
      <c r="D56" s="149" t="s">
        <v>82</v>
      </c>
      <c r="E56" s="149" t="s">
        <v>289</v>
      </c>
      <c r="F56" s="428"/>
      <c r="G56" s="110">
        <f>SUM(G57:G61)</f>
        <v>4060060</v>
      </c>
      <c r="H56" s="110">
        <f>SUM(H57:H61)</f>
        <v>2550000</v>
      </c>
    </row>
    <row r="57" spans="1:8" ht="110.25">
      <c r="A57" s="370" t="s">
        <v>222</v>
      </c>
      <c r="B57" s="151">
        <v>923</v>
      </c>
      <c r="C57" s="96" t="s">
        <v>89</v>
      </c>
      <c r="D57" s="96" t="s">
        <v>82</v>
      </c>
      <c r="E57" s="96" t="s">
        <v>289</v>
      </c>
      <c r="F57" s="151">
        <v>100</v>
      </c>
      <c r="G57" s="155">
        <v>2050060</v>
      </c>
      <c r="H57" s="155">
        <v>1500000</v>
      </c>
    </row>
    <row r="58" spans="1:8" ht="126">
      <c r="A58" s="370" t="s">
        <v>221</v>
      </c>
      <c r="B58" s="151">
        <v>923</v>
      </c>
      <c r="C58" s="96" t="s">
        <v>89</v>
      </c>
      <c r="D58" s="96" t="s">
        <v>82</v>
      </c>
      <c r="E58" s="96" t="s">
        <v>290</v>
      </c>
      <c r="F58" s="151">
        <v>100</v>
      </c>
      <c r="G58" s="155">
        <v>0</v>
      </c>
      <c r="H58" s="155">
        <v>0</v>
      </c>
    </row>
    <row r="59" spans="1:8" ht="47.25">
      <c r="A59" s="370" t="s">
        <v>513</v>
      </c>
      <c r="B59" s="151">
        <v>923</v>
      </c>
      <c r="C59" s="96" t="s">
        <v>89</v>
      </c>
      <c r="D59" s="96" t="s">
        <v>82</v>
      </c>
      <c r="E59" s="96" t="s">
        <v>289</v>
      </c>
      <c r="F59" s="151">
        <v>200</v>
      </c>
      <c r="G59" s="155">
        <v>1450000</v>
      </c>
      <c r="H59" s="155">
        <v>1000000</v>
      </c>
    </row>
    <row r="60" spans="1:8" ht="47.25">
      <c r="A60" s="370" t="s">
        <v>606</v>
      </c>
      <c r="B60" s="151">
        <v>923</v>
      </c>
      <c r="C60" s="96" t="s">
        <v>89</v>
      </c>
      <c r="D60" s="96" t="s">
        <v>82</v>
      </c>
      <c r="E60" s="96" t="s">
        <v>605</v>
      </c>
      <c r="F60" s="151">
        <v>200</v>
      </c>
      <c r="G60" s="155">
        <v>500000</v>
      </c>
      <c r="H60" s="155" t="s">
        <v>695</v>
      </c>
    </row>
    <row r="61" spans="1:8" ht="47.25">
      <c r="A61" s="370" t="s">
        <v>223</v>
      </c>
      <c r="B61" s="151">
        <v>923</v>
      </c>
      <c r="C61" s="96" t="s">
        <v>89</v>
      </c>
      <c r="D61" s="96" t="s">
        <v>82</v>
      </c>
      <c r="E61" s="96" t="s">
        <v>289</v>
      </c>
      <c r="F61" s="151">
        <v>800</v>
      </c>
      <c r="G61" s="155">
        <v>60000</v>
      </c>
      <c r="H61" s="155">
        <v>50000</v>
      </c>
    </row>
    <row r="62" spans="1:8" s="153" customFormat="1" ht="15.75">
      <c r="A62" s="152" t="s">
        <v>232</v>
      </c>
      <c r="B62" s="428">
        <v>923</v>
      </c>
      <c r="C62" s="149" t="s">
        <v>89</v>
      </c>
      <c r="D62" s="149" t="s">
        <v>82</v>
      </c>
      <c r="E62" s="149" t="s">
        <v>302</v>
      </c>
      <c r="F62" s="428"/>
      <c r="G62" s="155">
        <f>SUM(G63:G66)</f>
        <v>817300.6</v>
      </c>
      <c r="H62" s="162">
        <f>H63+H64+H65+H66</f>
        <v>817300.6</v>
      </c>
    </row>
    <row r="63" spans="1:8" s="153" customFormat="1" ht="141.75">
      <c r="A63" s="154" t="s">
        <v>229</v>
      </c>
      <c r="B63" s="151">
        <v>923</v>
      </c>
      <c r="C63" s="96" t="s">
        <v>89</v>
      </c>
      <c r="D63" s="96" t="s">
        <v>82</v>
      </c>
      <c r="E63" s="96" t="s">
        <v>459</v>
      </c>
      <c r="F63" s="151">
        <v>100</v>
      </c>
      <c r="G63" s="155">
        <f>безвозм.пост.!D25+безвозм.пост.!D26</f>
        <v>663379.56000000006</v>
      </c>
      <c r="H63" s="155">
        <f>безвозм.пост.!E25+безвозм.пост.!E26</f>
        <v>663379.56000000006</v>
      </c>
    </row>
    <row r="64" spans="1:8" s="153" customFormat="1" ht="78.75">
      <c r="A64" s="154" t="s">
        <v>516</v>
      </c>
      <c r="B64" s="151">
        <v>923</v>
      </c>
      <c r="C64" s="96" t="s">
        <v>89</v>
      </c>
      <c r="D64" s="96" t="s">
        <v>82</v>
      </c>
      <c r="E64" s="96" t="s">
        <v>459</v>
      </c>
      <c r="F64" s="151">
        <v>200</v>
      </c>
      <c r="G64" s="155">
        <f>безвозм.пост.!D27+безвозм.пост.!D28</f>
        <v>153921.03999999992</v>
      </c>
      <c r="H64" s="155">
        <f>безвозм.пост.!E27+безвозм.пост.!E28</f>
        <v>153921.03999999992</v>
      </c>
    </row>
    <row r="65" spans="1:8" ht="141.75">
      <c r="A65" s="154" t="s">
        <v>230</v>
      </c>
      <c r="B65" s="151">
        <v>923</v>
      </c>
      <c r="C65" s="96" t="s">
        <v>89</v>
      </c>
      <c r="D65" s="96" t="s">
        <v>82</v>
      </c>
      <c r="E65" s="96" t="s">
        <v>296</v>
      </c>
      <c r="F65" s="151">
        <v>100</v>
      </c>
      <c r="G65" s="155">
        <f>безвозм.пост.!D32</f>
        <v>0</v>
      </c>
      <c r="H65" s="155">
        <f>безвозм.пост.!E32</f>
        <v>0</v>
      </c>
    </row>
    <row r="66" spans="1:8" ht="147" customHeight="1">
      <c r="A66" s="154" t="s">
        <v>231</v>
      </c>
      <c r="B66" s="151">
        <v>923</v>
      </c>
      <c r="C66" s="96" t="s">
        <v>89</v>
      </c>
      <c r="D66" s="96" t="s">
        <v>82</v>
      </c>
      <c r="E66" s="96" t="s">
        <v>297</v>
      </c>
      <c r="F66" s="151">
        <v>100</v>
      </c>
      <c r="G66" s="155">
        <f>безвозм.пост.!D36</f>
        <v>0</v>
      </c>
      <c r="H66" s="155">
        <f>безвозм.пост.!E36</f>
        <v>0</v>
      </c>
    </row>
    <row r="67" spans="1:8" s="153" customFormat="1" ht="15.75">
      <c r="A67" s="152" t="s">
        <v>234</v>
      </c>
      <c r="B67" s="428">
        <v>923</v>
      </c>
      <c r="C67" s="149" t="s">
        <v>89</v>
      </c>
      <c r="D67" s="149" t="s">
        <v>82</v>
      </c>
      <c r="E67" s="149" t="s">
        <v>298</v>
      </c>
      <c r="F67" s="428"/>
      <c r="G67" s="156">
        <f>G68</f>
        <v>1200000</v>
      </c>
      <c r="H67" s="156">
        <f>H68</f>
        <v>1200000</v>
      </c>
    </row>
    <row r="68" spans="1:8" s="153" customFormat="1" ht="63">
      <c r="A68" s="154" t="s">
        <v>523</v>
      </c>
      <c r="B68" s="151">
        <v>923</v>
      </c>
      <c r="C68" s="96" t="s">
        <v>89</v>
      </c>
      <c r="D68" s="96" t="s">
        <v>82</v>
      </c>
      <c r="E68" s="96" t="s">
        <v>299</v>
      </c>
      <c r="F68" s="151">
        <v>200</v>
      </c>
      <c r="G68" s="155">
        <f>безвозм.пост.!D40</f>
        <v>1200000</v>
      </c>
      <c r="H68" s="155">
        <f>безвозм.пост.!E40</f>
        <v>1200000</v>
      </c>
    </row>
    <row r="69" spans="1:8" s="153" customFormat="1" ht="47.25">
      <c r="A69" s="152" t="s">
        <v>461</v>
      </c>
      <c r="B69" s="428">
        <v>923</v>
      </c>
      <c r="C69" s="170" t="s">
        <v>89</v>
      </c>
      <c r="D69" s="170" t="s">
        <v>82</v>
      </c>
      <c r="E69" s="149" t="s">
        <v>452</v>
      </c>
      <c r="F69" s="428"/>
      <c r="G69" s="300">
        <f>G70</f>
        <v>0</v>
      </c>
      <c r="H69" s="300">
        <f>H70</f>
        <v>0</v>
      </c>
    </row>
    <row r="70" spans="1:8" s="153" customFormat="1" ht="141.75">
      <c r="A70" s="154" t="s">
        <v>224</v>
      </c>
      <c r="B70" s="151">
        <v>923</v>
      </c>
      <c r="C70" s="160" t="s">
        <v>89</v>
      </c>
      <c r="D70" s="160" t="s">
        <v>82</v>
      </c>
      <c r="E70" s="96" t="s">
        <v>450</v>
      </c>
      <c r="F70" s="151">
        <v>100</v>
      </c>
      <c r="G70" s="301">
        <f>безвозм.пост.!D9</f>
        <v>0</v>
      </c>
      <c r="H70" s="301">
        <f>безвозм.пост.!E9</f>
        <v>0</v>
      </c>
    </row>
    <row r="71" spans="1:8" ht="31.5">
      <c r="A71" s="152" t="s">
        <v>424</v>
      </c>
      <c r="B71" s="428">
        <v>923</v>
      </c>
      <c r="C71" s="149">
        <v>11</v>
      </c>
      <c r="D71" s="149" t="s">
        <v>86</v>
      </c>
      <c r="E71" s="96"/>
      <c r="F71" s="151"/>
      <c r="G71" s="110">
        <f>G72</f>
        <v>100000</v>
      </c>
      <c r="H71" s="110">
        <f>H72</f>
        <v>0</v>
      </c>
    </row>
    <row r="72" spans="1:8" ht="47.25">
      <c r="A72" s="370" t="s">
        <v>514</v>
      </c>
      <c r="B72" s="151">
        <v>923</v>
      </c>
      <c r="C72" s="96">
        <v>11</v>
      </c>
      <c r="D72" s="96" t="s">
        <v>86</v>
      </c>
      <c r="E72" s="96" t="s">
        <v>292</v>
      </c>
      <c r="F72" s="151">
        <v>200</v>
      </c>
      <c r="G72" s="109">
        <f>'Пр. 7'!G86</f>
        <v>100000</v>
      </c>
      <c r="H72" s="109">
        <v>0</v>
      </c>
    </row>
    <row r="73" spans="1:8" ht="15.75">
      <c r="A73" s="152" t="s">
        <v>76</v>
      </c>
      <c r="B73" s="428">
        <v>923</v>
      </c>
      <c r="C73" s="149" t="s">
        <v>86</v>
      </c>
      <c r="D73" s="149" t="s">
        <v>88</v>
      </c>
      <c r="E73" s="96"/>
      <c r="F73" s="151"/>
      <c r="G73" s="378">
        <f>G74</f>
        <v>500000</v>
      </c>
      <c r="H73" s="378">
        <f>H74</f>
        <v>0</v>
      </c>
    </row>
    <row r="74" spans="1:8" ht="63">
      <c r="A74" s="154" t="s">
        <v>522</v>
      </c>
      <c r="B74" s="151">
        <v>923</v>
      </c>
      <c r="C74" s="96" t="s">
        <v>86</v>
      </c>
      <c r="D74" s="96" t="s">
        <v>88</v>
      </c>
      <c r="E74" s="96" t="s">
        <v>294</v>
      </c>
      <c r="F74" s="151">
        <v>200</v>
      </c>
      <c r="G74" s="109">
        <v>500000</v>
      </c>
      <c r="H74" s="109">
        <v>0</v>
      </c>
    </row>
    <row r="75" spans="1:8" ht="15.75">
      <c r="A75" s="503" t="s">
        <v>543</v>
      </c>
      <c r="B75" s="151"/>
      <c r="C75" s="96"/>
      <c r="D75" s="96"/>
      <c r="E75" s="96"/>
      <c r="F75" s="151"/>
      <c r="G75" s="174">
        <f>G12+G53</f>
        <v>17905000</v>
      </c>
      <c r="H75" s="174">
        <f>H12+H53</f>
        <v>11536900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10" workbookViewId="0">
      <selection activeCell="B27" sqref="B27"/>
    </sheetView>
  </sheetViews>
  <sheetFormatPr defaultRowHeight="15"/>
  <cols>
    <col min="1" max="1" width="10.7109375" style="299" customWidth="1"/>
    <col min="2" max="2" width="42.85546875" style="303" customWidth="1"/>
    <col min="3" max="3" width="14.42578125" style="299" customWidth="1"/>
    <col min="4" max="4" width="15.140625" style="299" customWidth="1"/>
    <col min="5" max="5" width="16.140625" style="299" customWidth="1"/>
    <col min="7" max="7" width="11.42578125" bestFit="1" customWidth="1"/>
    <col min="9" max="9" width="11.42578125" bestFit="1" customWidth="1"/>
  </cols>
  <sheetData>
    <row r="1" spans="1:9" ht="15" customHeight="1">
      <c r="C1" s="587" t="s">
        <v>235</v>
      </c>
      <c r="D1" s="587"/>
      <c r="E1" s="587"/>
    </row>
    <row r="2" spans="1:9" ht="15" customHeight="1">
      <c r="C2" s="588" t="s">
        <v>33</v>
      </c>
      <c r="D2" s="588"/>
      <c r="E2" s="588"/>
    </row>
    <row r="3" spans="1:9" ht="15" customHeight="1">
      <c r="C3" s="588" t="s">
        <v>109</v>
      </c>
      <c r="D3" s="588"/>
      <c r="E3" s="588"/>
    </row>
    <row r="4" spans="1:9" ht="15" customHeight="1">
      <c r="C4" s="588" t="s">
        <v>27</v>
      </c>
      <c r="D4" s="588"/>
      <c r="E4" s="588"/>
    </row>
    <row r="5" spans="1:9" ht="15" customHeight="1">
      <c r="C5" s="588" t="s">
        <v>28</v>
      </c>
      <c r="D5" s="588"/>
      <c r="E5" s="588"/>
    </row>
    <row r="6" spans="1:9" ht="15.75">
      <c r="C6" s="588" t="s">
        <v>620</v>
      </c>
      <c r="D6" s="588"/>
      <c r="E6" s="588"/>
    </row>
    <row r="7" spans="1:9" ht="15.75">
      <c r="C7" s="588"/>
      <c r="D7" s="588"/>
      <c r="E7" s="588"/>
    </row>
    <row r="8" spans="1:9" ht="15.75" customHeight="1">
      <c r="A8" s="660" t="s">
        <v>595</v>
      </c>
      <c r="B8" s="661"/>
      <c r="C8" s="661"/>
      <c r="D8" s="661"/>
      <c r="E8" s="661"/>
    </row>
    <row r="9" spans="1:9" ht="15.75" customHeight="1">
      <c r="A9" s="661"/>
      <c r="B9" s="661"/>
      <c r="C9" s="661"/>
      <c r="D9" s="661"/>
      <c r="E9" s="661"/>
    </row>
    <row r="10" spans="1:9">
      <c r="A10" s="661"/>
      <c r="B10" s="661"/>
      <c r="C10" s="661"/>
      <c r="D10" s="661"/>
      <c r="E10" s="661"/>
    </row>
    <row r="12" spans="1:9" ht="15.75">
      <c r="A12" s="658" t="s">
        <v>130</v>
      </c>
      <c r="B12" s="657" t="s">
        <v>34</v>
      </c>
      <c r="C12" s="655" t="s">
        <v>129</v>
      </c>
      <c r="D12" s="656"/>
      <c r="E12" s="656"/>
    </row>
    <row r="13" spans="1:9" ht="15.75">
      <c r="A13" s="659"/>
      <c r="B13" s="657"/>
      <c r="C13" s="431" t="s">
        <v>382</v>
      </c>
      <c r="D13" s="431" t="s">
        <v>471</v>
      </c>
      <c r="E13" s="431" t="s">
        <v>584</v>
      </c>
    </row>
    <row r="14" spans="1:9" s="98" customFormat="1" ht="47.25">
      <c r="A14" s="432">
        <v>100</v>
      </c>
      <c r="B14" s="152" t="s">
        <v>426</v>
      </c>
      <c r="C14" s="433">
        <f>C15+C16+C17+C18+C19</f>
        <v>6536000</v>
      </c>
      <c r="D14" s="433">
        <f>D15+D16+D17+D18+D19</f>
        <v>6095622.4000000004</v>
      </c>
      <c r="E14" s="433">
        <f>E15+E16+E17+E18+E19</f>
        <v>4481182.4000000004</v>
      </c>
      <c r="I14" s="385"/>
    </row>
    <row r="15" spans="1:9" ht="63">
      <c r="A15" s="96" t="s">
        <v>131</v>
      </c>
      <c r="B15" s="434" t="s">
        <v>67</v>
      </c>
      <c r="C15" s="435">
        <f>'Пр. 7'!G15</f>
        <v>1091000</v>
      </c>
      <c r="D15" s="435">
        <f>Пр.8!H15</f>
        <v>1000000</v>
      </c>
      <c r="E15" s="435">
        <f>Пр.8!H15</f>
        <v>1000000</v>
      </c>
    </row>
    <row r="16" spans="1:9" ht="94.5">
      <c r="A16" s="96" t="s">
        <v>132</v>
      </c>
      <c r="B16" s="434" t="s">
        <v>80</v>
      </c>
      <c r="C16" s="435">
        <f>'Пр. 7'!G16</f>
        <v>5235000</v>
      </c>
      <c r="D16" s="435">
        <f>Пр.8!G16</f>
        <v>4965000</v>
      </c>
      <c r="E16" s="435">
        <f>Пр.8!H16</f>
        <v>3381182.4</v>
      </c>
      <c r="G16" s="31"/>
    </row>
    <row r="17" spans="1:7" ht="63">
      <c r="A17" s="96" t="s">
        <v>135</v>
      </c>
      <c r="B17" s="436" t="s">
        <v>227</v>
      </c>
      <c r="C17" s="435">
        <f>'Пр. 7'!G21</f>
        <v>0</v>
      </c>
      <c r="D17" s="435">
        <f>Пр.8!G21</f>
        <v>27491.279999999999</v>
      </c>
      <c r="E17" s="435">
        <f>Пр.8!H21</f>
        <v>0</v>
      </c>
    </row>
    <row r="18" spans="1:7" ht="15.75">
      <c r="A18" s="96" t="s">
        <v>320</v>
      </c>
      <c r="B18" s="436" t="s">
        <v>303</v>
      </c>
      <c r="C18" s="435">
        <f>'Пр. 7'!G23</f>
        <v>100000</v>
      </c>
      <c r="D18" s="435">
        <f>Пр.8!G23</f>
        <v>100000</v>
      </c>
      <c r="E18" s="435">
        <f>Пр.8!H23</f>
        <v>100000</v>
      </c>
    </row>
    <row r="19" spans="1:7" s="98" customFormat="1" ht="15.75">
      <c r="A19" s="96" t="s">
        <v>136</v>
      </c>
      <c r="B19" s="434" t="s">
        <v>69</v>
      </c>
      <c r="C19" s="435">
        <f>'Пр. 7'!G25</f>
        <v>110000</v>
      </c>
      <c r="D19" s="435">
        <f>Пр.8!G25</f>
        <v>3131.12</v>
      </c>
      <c r="E19" s="435">
        <f>Пр.8!H25</f>
        <v>0</v>
      </c>
    </row>
    <row r="20" spans="1:7" ht="15.75">
      <c r="A20" s="149" t="s">
        <v>376</v>
      </c>
      <c r="B20" s="437" t="s">
        <v>427</v>
      </c>
      <c r="C20" s="433">
        <f>C21</f>
        <v>252675</v>
      </c>
      <c r="D20" s="433">
        <f>D21</f>
        <v>246500</v>
      </c>
      <c r="E20" s="433">
        <f>E21</f>
        <v>254900</v>
      </c>
    </row>
    <row r="21" spans="1:7" ht="31.5">
      <c r="A21" s="96" t="s">
        <v>137</v>
      </c>
      <c r="B21" s="434" t="s">
        <v>71</v>
      </c>
      <c r="C21" s="435">
        <f>'Пр. 7'!G31</f>
        <v>252675</v>
      </c>
      <c r="D21" s="435">
        <f>Пр.8!G29</f>
        <v>246500</v>
      </c>
      <c r="E21" s="435">
        <f>Пр.8!H29</f>
        <v>254900</v>
      </c>
    </row>
    <row r="22" spans="1:7" s="98" customFormat="1" ht="47.25">
      <c r="A22" s="149" t="s">
        <v>138</v>
      </c>
      <c r="B22" s="438" t="s">
        <v>428</v>
      </c>
      <c r="C22" s="433">
        <f>C23+C24</f>
        <v>1495000</v>
      </c>
      <c r="D22" s="433">
        <f>D23+D24</f>
        <v>1200000</v>
      </c>
      <c r="E22" s="433">
        <f>E23+E24</f>
        <v>0</v>
      </c>
    </row>
    <row r="23" spans="1:7" ht="15.75">
      <c r="A23" s="96" t="s">
        <v>139</v>
      </c>
      <c r="B23" s="434" t="s">
        <v>73</v>
      </c>
      <c r="C23" s="435">
        <f>'Пр. 7'!G35</f>
        <v>1495000</v>
      </c>
      <c r="D23" s="435">
        <f>Пр.8!G33</f>
        <v>1200000</v>
      </c>
      <c r="E23" s="435">
        <f>Пр.8!H33</f>
        <v>0</v>
      </c>
    </row>
    <row r="24" spans="1:7" s="98" customFormat="1" ht="47.25">
      <c r="A24" s="96" t="s">
        <v>533</v>
      </c>
      <c r="B24" s="434" t="s">
        <v>532</v>
      </c>
      <c r="C24" s="435">
        <f>'Пр. 7'!G37</f>
        <v>0</v>
      </c>
      <c r="D24" s="435"/>
      <c r="E24" s="435"/>
    </row>
    <row r="25" spans="1:7" s="26" customFormat="1" ht="15.75">
      <c r="A25" s="149" t="s">
        <v>251</v>
      </c>
      <c r="B25" s="438" t="s">
        <v>429</v>
      </c>
      <c r="C25" s="433">
        <f>'Пр. 7'!G39</f>
        <v>4931964</v>
      </c>
      <c r="D25" s="433">
        <f>Пр.8!G35</f>
        <v>1468517</v>
      </c>
      <c r="E25" s="433">
        <f>Пр.8!H35</f>
        <v>1468517</v>
      </c>
    </row>
    <row r="26" spans="1:7" s="98" customFormat="1" ht="15.75">
      <c r="A26" s="96" t="s">
        <v>539</v>
      </c>
      <c r="B26" s="434" t="s">
        <v>540</v>
      </c>
      <c r="C26" s="435">
        <f>'Пр. 7'!G40</f>
        <v>0</v>
      </c>
      <c r="D26" s="435"/>
      <c r="E26" s="435"/>
    </row>
    <row r="27" spans="1:7" s="30" customFormat="1" ht="15.75">
      <c r="A27" s="439" t="s">
        <v>261</v>
      </c>
      <c r="B27" s="440" t="s">
        <v>258</v>
      </c>
      <c r="C27" s="435">
        <f>'Пр. 7'!G42</f>
        <v>4831964</v>
      </c>
      <c r="D27" s="435">
        <f>Пр.8!G36</f>
        <v>1468517</v>
      </c>
      <c r="E27" s="435">
        <f>Пр.8!H36</f>
        <v>1468517</v>
      </c>
    </row>
    <row r="28" spans="1:7" s="30" customFormat="1" ht="31.5">
      <c r="A28" s="439" t="s">
        <v>487</v>
      </c>
      <c r="B28" s="434" t="s">
        <v>488</v>
      </c>
      <c r="C28" s="435">
        <f>'Пр. 7'!G47</f>
        <v>100000</v>
      </c>
      <c r="D28" s="435"/>
      <c r="E28" s="435"/>
    </row>
    <row r="29" spans="1:7" ht="31.5">
      <c r="A29" s="149" t="s">
        <v>140</v>
      </c>
      <c r="B29" s="438" t="s">
        <v>430</v>
      </c>
      <c r="C29" s="433">
        <f>C30+C32+C31</f>
        <v>6412620.75</v>
      </c>
      <c r="D29" s="433">
        <f>D30+D32+D31</f>
        <v>2445000</v>
      </c>
      <c r="E29" s="433">
        <f>E30+E32+E31</f>
        <v>545000</v>
      </c>
    </row>
    <row r="30" spans="1:7" s="30" customFormat="1" ht="15.75">
      <c r="A30" s="96" t="s">
        <v>559</v>
      </c>
      <c r="B30" s="434" t="s">
        <v>556</v>
      </c>
      <c r="C30" s="435">
        <f>'Пр. 7'!G50</f>
        <v>0</v>
      </c>
      <c r="D30" s="435"/>
      <c r="E30" s="435"/>
    </row>
    <row r="31" spans="1:7" s="98" customFormat="1" ht="15.75">
      <c r="A31" s="96" t="s">
        <v>255</v>
      </c>
      <c r="B31" s="434" t="s">
        <v>253</v>
      </c>
      <c r="C31" s="435">
        <f>'Пр. 7'!G52</f>
        <v>1866120.75</v>
      </c>
      <c r="D31" s="435">
        <f>Пр.8!G43</f>
        <v>545000</v>
      </c>
      <c r="E31" s="435">
        <f>Пр.8!H43</f>
        <v>545000</v>
      </c>
    </row>
    <row r="32" spans="1:7" ht="15.75">
      <c r="A32" s="96" t="s">
        <v>141</v>
      </c>
      <c r="B32" s="434" t="s">
        <v>76</v>
      </c>
      <c r="C32" s="435">
        <f>'Пр. 7'!G57+'Пр. 7'!G87</f>
        <v>4546500</v>
      </c>
      <c r="D32" s="435">
        <f>Пр.8!G47+Пр.8!G73</f>
        <v>1900000</v>
      </c>
      <c r="E32" s="435">
        <f>Пр.8!H47+Пр.8!H73</f>
        <v>0</v>
      </c>
      <c r="G32" s="31"/>
    </row>
    <row r="33" spans="1:5" ht="15.75">
      <c r="A33" s="149" t="s">
        <v>145</v>
      </c>
      <c r="B33" s="438" t="s">
        <v>431</v>
      </c>
      <c r="C33" s="433">
        <f>C34</f>
        <v>230000</v>
      </c>
      <c r="D33" s="433">
        <f>D34</f>
        <v>230000</v>
      </c>
      <c r="E33" s="433">
        <f>E34</f>
        <v>220000</v>
      </c>
    </row>
    <row r="34" spans="1:5" ht="15.75">
      <c r="A34" s="96" t="s">
        <v>144</v>
      </c>
      <c r="B34" s="434" t="s">
        <v>77</v>
      </c>
      <c r="C34" s="435">
        <f>'Пр. 7'!G64</f>
        <v>230000</v>
      </c>
      <c r="D34" s="435">
        <f>Пр.8!G50</f>
        <v>230000</v>
      </c>
      <c r="E34" s="435">
        <f>Пр.8!H50</f>
        <v>220000</v>
      </c>
    </row>
    <row r="35" spans="1:5" s="98" customFormat="1" ht="15.75">
      <c r="A35" s="441" t="s">
        <v>142</v>
      </c>
      <c r="B35" s="152" t="s">
        <v>423</v>
      </c>
      <c r="C35" s="442">
        <f>C36</f>
        <v>11379803.68</v>
      </c>
      <c r="D35" s="442">
        <f>D36</f>
        <v>6077360.5999999996</v>
      </c>
      <c r="E35" s="442">
        <f>E36</f>
        <v>4567300.5999999996</v>
      </c>
    </row>
    <row r="36" spans="1:5" s="98" customFormat="1" ht="15.75">
      <c r="A36" s="443" t="s">
        <v>143</v>
      </c>
      <c r="B36" s="444" t="s">
        <v>78</v>
      </c>
      <c r="C36" s="445">
        <f>'Пр. 7'!G66+'Пр. 7'!G89</f>
        <v>11379803.68</v>
      </c>
      <c r="D36" s="445">
        <f>Пр.8!G54</f>
        <v>6077360.5999999996</v>
      </c>
      <c r="E36" s="445">
        <f>Пр.8!H54</f>
        <v>4567300.5999999996</v>
      </c>
    </row>
    <row r="37" spans="1:5" ht="15.75">
      <c r="A37" s="446">
        <v>1100</v>
      </c>
      <c r="B37" s="438" t="s">
        <v>425</v>
      </c>
      <c r="C37" s="433">
        <f>C38</f>
        <v>100000</v>
      </c>
      <c r="D37" s="433">
        <f>D38</f>
        <v>100000</v>
      </c>
      <c r="E37" s="433">
        <f>E38</f>
        <v>0</v>
      </c>
    </row>
    <row r="38" spans="1:5" ht="31.5">
      <c r="A38" s="447">
        <v>1105</v>
      </c>
      <c r="B38" s="434" t="s">
        <v>424</v>
      </c>
      <c r="C38" s="435">
        <f>'Пр. 7'!G86</f>
        <v>100000</v>
      </c>
      <c r="D38" s="435">
        <f>Пр.8!G71</f>
        <v>100000</v>
      </c>
      <c r="E38" s="435">
        <f>Пр.8!H71</f>
        <v>0</v>
      </c>
    </row>
    <row r="39" spans="1:5" ht="14.25" customHeight="1" thickBot="1">
      <c r="A39" s="436"/>
      <c r="B39" s="306"/>
      <c r="C39" s="448"/>
      <c r="D39" s="448"/>
      <c r="E39" s="448"/>
    </row>
    <row r="40" spans="1:5" s="359" customFormat="1" ht="16.5" thickBot="1">
      <c r="A40" s="449"/>
      <c r="B40" s="450" t="s">
        <v>148</v>
      </c>
      <c r="C40" s="451">
        <f>C14+C20+C22+C25+C29+C33+C35+C37</f>
        <v>31338063.43</v>
      </c>
      <c r="D40" s="451">
        <f>D14+D20+D22+D25+D29+D33+D35+D37</f>
        <v>17863000</v>
      </c>
      <c r="E40" s="451">
        <f>E14+E20+E22+E25+E29+E33+E35+E37</f>
        <v>11536900</v>
      </c>
    </row>
    <row r="41" spans="1:5" ht="15" customHeight="1">
      <c r="A41" s="452"/>
      <c r="B41" s="348"/>
      <c r="C41" s="453"/>
      <c r="D41" s="453"/>
      <c r="E41" s="453"/>
    </row>
    <row r="42" spans="1:5" ht="15" customHeight="1">
      <c r="A42" s="452"/>
      <c r="B42" s="348"/>
      <c r="C42" s="453"/>
      <c r="D42" s="453"/>
      <c r="E42" s="453"/>
    </row>
    <row r="43" spans="1:5" ht="15" customHeight="1">
      <c r="A43" s="452"/>
      <c r="B43" s="348"/>
      <c r="C43" s="453"/>
      <c r="D43" s="453"/>
      <c r="E43" s="453"/>
    </row>
    <row r="44" spans="1:5" ht="15" customHeight="1">
      <c r="A44" s="452"/>
      <c r="B44" s="348"/>
      <c r="C44" s="453"/>
      <c r="D44" s="453"/>
      <c r="E44" s="453"/>
    </row>
    <row r="45" spans="1:5" ht="15" customHeight="1">
      <c r="A45" s="452"/>
      <c r="B45" s="348"/>
      <c r="C45" s="453"/>
      <c r="D45" s="453"/>
      <c r="E45" s="453"/>
    </row>
    <row r="46" spans="1:5" ht="15" customHeight="1">
      <c r="A46" s="452"/>
      <c r="B46" s="348"/>
      <c r="C46" s="453"/>
      <c r="D46" s="453"/>
      <c r="E46" s="453"/>
    </row>
    <row r="47" spans="1:5" ht="15" customHeight="1">
      <c r="A47" s="452"/>
      <c r="B47" s="348"/>
      <c r="C47" s="454"/>
      <c r="D47" s="454"/>
      <c r="E47" s="454"/>
    </row>
    <row r="48" spans="1:5" ht="15.75">
      <c r="A48" s="455"/>
      <c r="B48" s="456"/>
      <c r="C48" s="457"/>
      <c r="D48" s="457"/>
      <c r="E48" s="457"/>
    </row>
    <row r="49" spans="1:5" ht="15.75">
      <c r="A49" s="455"/>
      <c r="B49" s="456"/>
      <c r="C49" s="457"/>
      <c r="D49" s="457"/>
      <c r="E49" s="457"/>
    </row>
    <row r="50" spans="1:5" ht="15.75">
      <c r="A50" s="455"/>
      <c r="B50" s="456"/>
      <c r="C50" s="457"/>
      <c r="D50" s="457"/>
      <c r="E50" s="457"/>
    </row>
    <row r="51" spans="1:5" ht="15.75">
      <c r="A51" s="458"/>
      <c r="B51" s="459"/>
      <c r="C51" s="460"/>
      <c r="D51" s="460"/>
      <c r="E51" s="460"/>
    </row>
    <row r="52" spans="1:5" ht="15.75">
      <c r="A52" s="458"/>
      <c r="B52" s="459"/>
      <c r="C52" s="460"/>
      <c r="D52" s="460"/>
      <c r="E52" s="460"/>
    </row>
    <row r="53" spans="1:5" ht="15.75">
      <c r="A53" s="458"/>
      <c r="B53" s="459"/>
      <c r="C53" s="460"/>
      <c r="D53" s="460"/>
      <c r="E53" s="460"/>
    </row>
    <row r="54" spans="1:5" ht="15.75">
      <c r="A54" s="458"/>
      <c r="B54" s="459"/>
      <c r="C54" s="460"/>
      <c r="D54" s="460"/>
      <c r="E54" s="460"/>
    </row>
    <row r="55" spans="1:5" ht="15.75">
      <c r="A55" s="458"/>
      <c r="B55" s="459"/>
      <c r="C55" s="460"/>
      <c r="D55" s="460"/>
      <c r="E55" s="460"/>
    </row>
    <row r="56" spans="1:5" ht="15.75">
      <c r="A56" s="458"/>
      <c r="B56" s="459"/>
      <c r="C56" s="460"/>
      <c r="D56" s="460"/>
      <c r="E56" s="460"/>
    </row>
    <row r="57" spans="1:5" ht="15.75">
      <c r="A57" s="458"/>
      <c r="B57" s="459"/>
      <c r="C57" s="460"/>
      <c r="D57" s="460"/>
      <c r="E57" s="460"/>
    </row>
    <row r="58" spans="1:5" ht="15.75">
      <c r="A58" s="458"/>
      <c r="B58" s="459"/>
      <c r="C58" s="460"/>
      <c r="D58" s="460"/>
      <c r="E58" s="460"/>
    </row>
    <row r="59" spans="1:5" ht="15.75">
      <c r="A59" s="458"/>
      <c r="B59" s="459"/>
      <c r="C59" s="460"/>
      <c r="D59" s="460"/>
      <c r="E59" s="460"/>
    </row>
    <row r="60" spans="1:5" ht="15.75">
      <c r="A60" s="458"/>
      <c r="B60" s="459"/>
      <c r="C60" s="460"/>
      <c r="D60" s="460"/>
      <c r="E60" s="460"/>
    </row>
    <row r="61" spans="1:5" ht="15.75">
      <c r="A61" s="458"/>
      <c r="B61" s="459"/>
      <c r="C61" s="460"/>
      <c r="D61" s="460"/>
      <c r="E61" s="460"/>
    </row>
    <row r="62" spans="1:5" ht="15.75">
      <c r="A62" s="458"/>
      <c r="B62" s="459"/>
      <c r="C62" s="460"/>
      <c r="D62" s="460"/>
      <c r="E62" s="460"/>
    </row>
    <row r="63" spans="1:5" ht="15.75">
      <c r="A63" s="458"/>
      <c r="B63" s="459"/>
      <c r="C63" s="460"/>
      <c r="D63" s="460"/>
      <c r="E63" s="460"/>
    </row>
    <row r="64" spans="1:5" ht="15.75">
      <c r="A64" s="458"/>
      <c r="B64" s="459"/>
      <c r="C64" s="460"/>
      <c r="D64" s="460"/>
      <c r="E64" s="460"/>
    </row>
    <row r="65" spans="1:5" ht="15.75">
      <c r="A65" s="458"/>
      <c r="B65" s="459"/>
      <c r="C65" s="460"/>
      <c r="D65" s="460"/>
      <c r="E65" s="460"/>
    </row>
    <row r="66" spans="1:5" ht="15.75">
      <c r="A66" s="458"/>
      <c r="B66" s="459"/>
      <c r="C66" s="460"/>
      <c r="D66" s="460"/>
      <c r="E66" s="460"/>
    </row>
    <row r="67" spans="1:5" ht="15.75">
      <c r="A67" s="458"/>
      <c r="B67" s="459"/>
      <c r="C67" s="460"/>
      <c r="D67" s="460"/>
      <c r="E67" s="460"/>
    </row>
    <row r="68" spans="1:5" ht="15.75">
      <c r="A68" s="458"/>
      <c r="B68" s="459"/>
      <c r="C68" s="460"/>
      <c r="D68" s="460"/>
      <c r="E68" s="460"/>
    </row>
    <row r="69" spans="1:5" ht="15.75">
      <c r="A69" s="458"/>
      <c r="B69" s="459"/>
      <c r="C69" s="460"/>
      <c r="D69" s="460"/>
      <c r="E69" s="460"/>
    </row>
    <row r="70" spans="1:5" ht="15.75">
      <c r="A70" s="458"/>
      <c r="B70" s="459"/>
      <c r="C70" s="460"/>
      <c r="D70" s="460"/>
      <c r="E70" s="460"/>
    </row>
    <row r="71" spans="1:5" ht="15.75">
      <c r="A71" s="458"/>
      <c r="B71" s="459"/>
      <c r="C71" s="460"/>
      <c r="D71" s="460"/>
      <c r="E71" s="460"/>
    </row>
    <row r="72" spans="1:5" ht="15.75">
      <c r="A72" s="458"/>
      <c r="B72" s="459"/>
      <c r="C72" s="460"/>
      <c r="D72" s="460"/>
      <c r="E72" s="460"/>
    </row>
    <row r="73" spans="1:5" ht="15.75">
      <c r="A73" s="461"/>
      <c r="B73" s="459"/>
      <c r="C73" s="461"/>
      <c r="D73" s="461"/>
      <c r="E73" s="461"/>
    </row>
    <row r="74" spans="1:5" ht="15.75">
      <c r="A74" s="461"/>
      <c r="B74" s="459"/>
      <c r="C74" s="461"/>
      <c r="D74" s="461"/>
      <c r="E74" s="461"/>
    </row>
    <row r="75" spans="1:5" ht="15.75">
      <c r="A75" s="461"/>
      <c r="B75" s="459"/>
      <c r="C75" s="461"/>
      <c r="D75" s="461"/>
      <c r="E75" s="461"/>
    </row>
    <row r="76" spans="1:5" ht="15.75">
      <c r="A76" s="461"/>
      <c r="B76" s="459"/>
      <c r="C76" s="461"/>
      <c r="D76" s="461"/>
      <c r="E76" s="461"/>
    </row>
    <row r="77" spans="1:5" ht="15.75">
      <c r="A77" s="461"/>
      <c r="B77" s="459"/>
      <c r="C77" s="461"/>
      <c r="D77" s="461"/>
      <c r="E77" s="461"/>
    </row>
    <row r="78" spans="1:5" ht="15.75">
      <c r="A78" s="461"/>
      <c r="B78" s="459"/>
      <c r="C78" s="461"/>
      <c r="D78" s="461"/>
      <c r="E78" s="461"/>
    </row>
    <row r="79" spans="1:5" ht="15.75">
      <c r="A79" s="461"/>
      <c r="B79" s="459"/>
      <c r="C79" s="461"/>
      <c r="D79" s="461"/>
      <c r="E79" s="461"/>
    </row>
    <row r="80" spans="1:5" ht="15.75">
      <c r="A80" s="461"/>
      <c r="B80" s="459"/>
      <c r="C80" s="461"/>
      <c r="D80" s="461"/>
      <c r="E80" s="461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664" t="s">
        <v>134</v>
      </c>
      <c r="C1" s="664"/>
      <c r="D1" s="664"/>
    </row>
    <row r="2" spans="1:4" ht="15.75">
      <c r="B2" s="665" t="s">
        <v>33</v>
      </c>
      <c r="C2" s="665"/>
      <c r="D2" s="665"/>
    </row>
    <row r="3" spans="1:4" ht="15.75">
      <c r="B3" s="665" t="s">
        <v>109</v>
      </c>
      <c r="C3" s="665"/>
      <c r="D3" s="665"/>
    </row>
    <row r="4" spans="1:4" ht="15.75">
      <c r="B4" s="665" t="s">
        <v>27</v>
      </c>
      <c r="C4" s="665"/>
      <c r="D4" s="665"/>
    </row>
    <row r="5" spans="1:4" ht="13.5" customHeight="1">
      <c r="B5" s="665" t="s">
        <v>28</v>
      </c>
      <c r="C5" s="665"/>
      <c r="D5" s="665"/>
    </row>
    <row r="6" spans="1:4" ht="15.75">
      <c r="B6" s="665" t="s">
        <v>620</v>
      </c>
      <c r="C6" s="665"/>
      <c r="D6" s="665"/>
    </row>
    <row r="8" spans="1:4" ht="32.25" customHeight="1">
      <c r="A8" s="662" t="s">
        <v>596</v>
      </c>
      <c r="B8" s="662"/>
      <c r="C8" s="663"/>
      <c r="D8" s="663"/>
    </row>
    <row r="10" spans="1:4" ht="31.5" customHeight="1">
      <c r="A10" s="3" t="s">
        <v>90</v>
      </c>
      <c r="B10" s="645" t="s">
        <v>91</v>
      </c>
      <c r="C10" s="646"/>
      <c r="D10" s="647"/>
    </row>
    <row r="11" spans="1:4" ht="15.75">
      <c r="A11" s="3"/>
      <c r="B11" s="61" t="s">
        <v>382</v>
      </c>
      <c r="C11" s="61" t="s">
        <v>471</v>
      </c>
      <c r="D11" s="61" t="s">
        <v>584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A16" sqref="A16:H1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664" t="s">
        <v>149</v>
      </c>
      <c r="F1" s="664"/>
      <c r="G1" s="664"/>
      <c r="H1" s="664"/>
    </row>
    <row r="2" spans="1:8" ht="15.75">
      <c r="E2" s="665" t="s">
        <v>33</v>
      </c>
      <c r="F2" s="665"/>
      <c r="G2" s="665"/>
      <c r="H2" s="665"/>
    </row>
    <row r="3" spans="1:8" ht="15.75">
      <c r="E3" s="665" t="s">
        <v>109</v>
      </c>
      <c r="F3" s="665"/>
      <c r="G3" s="665"/>
      <c r="H3" s="665"/>
    </row>
    <row r="4" spans="1:8" ht="15.75">
      <c r="E4" s="665" t="s">
        <v>27</v>
      </c>
      <c r="F4" s="665"/>
      <c r="G4" s="665"/>
      <c r="H4" s="665"/>
    </row>
    <row r="5" spans="1:8" ht="15.75">
      <c r="E5" s="665" t="s">
        <v>28</v>
      </c>
      <c r="F5" s="665"/>
      <c r="G5" s="665"/>
      <c r="H5" s="665"/>
    </row>
    <row r="6" spans="1:8" ht="15.75">
      <c r="E6" s="665" t="s">
        <v>620</v>
      </c>
      <c r="F6" s="665"/>
      <c r="G6" s="665"/>
      <c r="H6" s="665"/>
    </row>
    <row r="8" spans="1:8" ht="63" customHeight="1">
      <c r="A8" s="648" t="s">
        <v>597</v>
      </c>
      <c r="B8" s="663"/>
      <c r="C8" s="663"/>
      <c r="D8" s="663"/>
      <c r="E8" s="663"/>
      <c r="F8" s="663"/>
      <c r="G8" s="663"/>
      <c r="H8" s="663"/>
    </row>
    <row r="9" spans="1:8" ht="30.75" customHeight="1">
      <c r="A9" s="648" t="s">
        <v>598</v>
      </c>
      <c r="B9" s="648"/>
      <c r="C9" s="648"/>
      <c r="D9" s="648"/>
      <c r="E9" s="648"/>
      <c r="F9" s="648"/>
      <c r="G9" s="648"/>
      <c r="H9" s="663"/>
    </row>
    <row r="11" spans="1:8" ht="63" customHeight="1">
      <c r="A11" s="666" t="s">
        <v>106</v>
      </c>
      <c r="B11" s="666" t="s">
        <v>99</v>
      </c>
      <c r="C11" s="666" t="s">
        <v>105</v>
      </c>
      <c r="D11" s="22" t="s">
        <v>104</v>
      </c>
      <c r="E11" s="666" t="s">
        <v>103</v>
      </c>
      <c r="F11" s="666" t="s">
        <v>102</v>
      </c>
      <c r="G11" s="666" t="s">
        <v>101</v>
      </c>
      <c r="H11" s="666"/>
    </row>
    <row r="12" spans="1:8" ht="47.25">
      <c r="A12" s="666"/>
      <c r="B12" s="666"/>
      <c r="C12" s="666"/>
      <c r="D12" s="22" t="s">
        <v>100</v>
      </c>
      <c r="E12" s="666"/>
      <c r="F12" s="666"/>
      <c r="G12" s="666"/>
      <c r="H12" s="666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667">
        <v>7</v>
      </c>
      <c r="H13" s="667"/>
    </row>
    <row r="14" spans="1:8" ht="15.75">
      <c r="A14" s="21"/>
      <c r="B14" s="21"/>
      <c r="C14" s="21"/>
      <c r="D14" s="21"/>
      <c r="E14" s="21"/>
      <c r="F14" s="21"/>
      <c r="G14" s="667"/>
      <c r="H14" s="668"/>
    </row>
    <row r="16" spans="1:8" ht="47.25" customHeight="1">
      <c r="A16" s="648" t="s">
        <v>599</v>
      </c>
      <c r="B16" s="648"/>
      <c r="C16" s="648"/>
      <c r="D16" s="648"/>
      <c r="E16" s="648"/>
      <c r="F16" s="648"/>
      <c r="G16" s="648"/>
      <c r="H16" s="663"/>
    </row>
    <row r="18" spans="1:8" ht="68.25" customHeight="1">
      <c r="A18" s="669" t="s">
        <v>125</v>
      </c>
      <c r="B18" s="669"/>
      <c r="C18" s="669"/>
      <c r="D18" s="666" t="s">
        <v>124</v>
      </c>
      <c r="E18" s="666"/>
      <c r="F18" s="666"/>
      <c r="G18" s="666"/>
      <c r="H18" s="666"/>
    </row>
    <row r="19" spans="1:8" ht="15.75" customHeight="1">
      <c r="A19" s="669"/>
      <c r="B19" s="669"/>
      <c r="C19" s="669"/>
      <c r="D19" s="408" t="s">
        <v>382</v>
      </c>
      <c r="E19" s="670" t="s">
        <v>471</v>
      </c>
      <c r="F19" s="671"/>
      <c r="G19" s="669" t="s">
        <v>584</v>
      </c>
      <c r="H19" s="669"/>
    </row>
    <row r="20" spans="1:8" ht="50.25" customHeight="1">
      <c r="A20" s="673" t="s">
        <v>107</v>
      </c>
      <c r="B20" s="674"/>
      <c r="C20" s="675"/>
      <c r="D20" s="28">
        <v>0</v>
      </c>
      <c r="E20" s="672">
        <v>0</v>
      </c>
      <c r="F20" s="672"/>
      <c r="G20" s="672">
        <v>0</v>
      </c>
      <c r="H20" s="672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9"/>
  <sheetViews>
    <sheetView zoomScale="115" zoomScaleNormal="115" workbookViewId="0">
      <selection activeCell="G13" sqref="G13"/>
    </sheetView>
  </sheetViews>
  <sheetFormatPr defaultRowHeight="15"/>
  <cols>
    <col min="1" max="1" width="28.5703125" style="207" customWidth="1"/>
    <col min="2" max="2" width="11" style="208" customWidth="1"/>
    <col min="3" max="3" width="11" style="209" customWidth="1"/>
    <col min="4" max="4" width="10.7109375" style="209" customWidth="1"/>
    <col min="5" max="5" width="11" style="209" customWidth="1"/>
    <col min="6" max="6" width="8.5703125" style="209" customWidth="1"/>
    <col min="7" max="8" width="11" style="211" customWidth="1"/>
    <col min="9" max="9" width="10" style="211" customWidth="1"/>
    <col min="10" max="10" width="8.5703125" style="211" customWidth="1"/>
    <col min="11" max="11" width="9.5703125" style="210" customWidth="1"/>
    <col min="12" max="12" width="8.5703125" style="210" customWidth="1"/>
    <col min="13" max="13" width="11" style="207" customWidth="1"/>
    <col min="14" max="14" width="8.7109375" style="217" customWidth="1"/>
    <col min="15" max="15" width="10.28515625" style="207" customWidth="1"/>
    <col min="16" max="16" width="8.5703125" style="217" customWidth="1"/>
    <col min="17" max="17" width="10.28515625" style="207" customWidth="1"/>
    <col min="18" max="18" width="8.7109375" style="217" customWidth="1"/>
    <col min="19" max="19" width="5.7109375" style="207" customWidth="1"/>
    <col min="20" max="20" width="25" style="207" customWidth="1"/>
    <col min="21" max="23" width="13.42578125" style="214" hidden="1" customWidth="1"/>
    <col min="24" max="24" width="8.42578125" style="214" customWidth="1"/>
    <col min="25" max="37" width="8.42578125" style="207" customWidth="1"/>
    <col min="38" max="38" width="9.140625" style="207"/>
    <col min="39" max="39" width="29.140625" style="207" customWidth="1"/>
    <col min="40" max="40" width="16.7109375" style="207" customWidth="1"/>
    <col min="41" max="41" width="14.5703125" style="212" customWidth="1"/>
    <col min="42" max="42" width="9.85546875" style="207" customWidth="1"/>
    <col min="43" max="43" width="9.140625" style="207"/>
  </cols>
  <sheetData>
    <row r="1" spans="1:42" ht="38.25">
      <c r="A1" s="597" t="s">
        <v>170</v>
      </c>
      <c r="B1" s="592">
        <v>2016</v>
      </c>
      <c r="C1" s="592" t="s">
        <v>154</v>
      </c>
      <c r="D1" s="592"/>
      <c r="E1" s="593" t="s">
        <v>126</v>
      </c>
      <c r="F1" s="594"/>
      <c r="G1" s="600" t="s">
        <v>127</v>
      </c>
      <c r="H1" s="601"/>
      <c r="I1" s="600" t="s">
        <v>152</v>
      </c>
      <c r="J1" s="601"/>
      <c r="K1" s="600" t="s">
        <v>262</v>
      </c>
      <c r="L1" s="601"/>
      <c r="M1" s="604" t="s">
        <v>153</v>
      </c>
      <c r="N1" s="604"/>
      <c r="O1" s="604"/>
      <c r="P1" s="604"/>
      <c r="Q1" s="604"/>
      <c r="R1" s="604"/>
      <c r="T1" s="597" t="s">
        <v>170</v>
      </c>
      <c r="U1" s="592">
        <v>2016</v>
      </c>
      <c r="V1" s="592" t="s">
        <v>154</v>
      </c>
      <c r="W1" s="592"/>
      <c r="X1" s="593" t="s">
        <v>126</v>
      </c>
      <c r="Y1" s="594"/>
      <c r="Z1" s="593" t="s">
        <v>127</v>
      </c>
      <c r="AA1" s="594"/>
      <c r="AB1" s="593" t="s">
        <v>152</v>
      </c>
      <c r="AC1" s="594"/>
      <c r="AD1" s="600" t="s">
        <v>262</v>
      </c>
      <c r="AE1" s="601"/>
      <c r="AF1" s="604" t="s">
        <v>153</v>
      </c>
      <c r="AG1" s="604"/>
      <c r="AH1" s="604"/>
      <c r="AI1" s="604"/>
      <c r="AJ1" s="604"/>
      <c r="AK1" s="604"/>
      <c r="AM1" s="204" t="s">
        <v>321</v>
      </c>
      <c r="AN1" s="405" t="s">
        <v>601</v>
      </c>
      <c r="AO1" s="275" t="s">
        <v>323</v>
      </c>
      <c r="AP1" s="204" t="s">
        <v>444</v>
      </c>
    </row>
    <row r="2" spans="1:42">
      <c r="A2" s="598"/>
      <c r="B2" s="592"/>
      <c r="C2" s="592"/>
      <c r="D2" s="592"/>
      <c r="E2" s="595"/>
      <c r="F2" s="596"/>
      <c r="G2" s="602"/>
      <c r="H2" s="603"/>
      <c r="I2" s="602"/>
      <c r="J2" s="603"/>
      <c r="K2" s="602"/>
      <c r="L2" s="603"/>
      <c r="M2" s="604" t="s">
        <v>382</v>
      </c>
      <c r="N2" s="604"/>
      <c r="O2" s="604" t="s">
        <v>471</v>
      </c>
      <c r="P2" s="604"/>
      <c r="Q2" s="604" t="s">
        <v>600</v>
      </c>
      <c r="R2" s="604"/>
      <c r="T2" s="598"/>
      <c r="U2" s="592"/>
      <c r="V2" s="592"/>
      <c r="W2" s="592"/>
      <c r="X2" s="595"/>
      <c r="Y2" s="596"/>
      <c r="Z2" s="595"/>
      <c r="AA2" s="596"/>
      <c r="AB2" s="595"/>
      <c r="AC2" s="596"/>
      <c r="AD2" s="602"/>
      <c r="AE2" s="603"/>
      <c r="AF2" s="604" t="s">
        <v>382</v>
      </c>
      <c r="AG2" s="604"/>
      <c r="AH2" s="604" t="s">
        <v>471</v>
      </c>
      <c r="AI2" s="604"/>
      <c r="AJ2" s="604" t="s">
        <v>600</v>
      </c>
      <c r="AK2" s="604"/>
      <c r="AM2" s="119" t="s">
        <v>324</v>
      </c>
      <c r="AN2" s="119"/>
      <c r="AO2" s="276"/>
      <c r="AP2" s="227"/>
    </row>
    <row r="3" spans="1:42" ht="63.75">
      <c r="A3" s="599"/>
      <c r="B3" s="203" t="s">
        <v>155</v>
      </c>
      <c r="C3" s="203" t="s">
        <v>155</v>
      </c>
      <c r="D3" s="32" t="s">
        <v>156</v>
      </c>
      <c r="E3" s="203" t="s">
        <v>155</v>
      </c>
      <c r="F3" s="32" t="s">
        <v>156</v>
      </c>
      <c r="G3" s="201" t="s">
        <v>155</v>
      </c>
      <c r="H3" s="136" t="s">
        <v>156</v>
      </c>
      <c r="I3" s="274" t="s">
        <v>155</v>
      </c>
      <c r="J3" s="136" t="s">
        <v>156</v>
      </c>
      <c r="K3" s="415" t="s">
        <v>155</v>
      </c>
      <c r="L3" s="136" t="s">
        <v>164</v>
      </c>
      <c r="M3" s="204" t="s">
        <v>155</v>
      </c>
      <c r="N3" s="27" t="s">
        <v>156</v>
      </c>
      <c r="O3" s="204" t="s">
        <v>155</v>
      </c>
      <c r="P3" s="27" t="s">
        <v>156</v>
      </c>
      <c r="Q3" s="204" t="s">
        <v>155</v>
      </c>
      <c r="R3" s="27" t="s">
        <v>156</v>
      </c>
      <c r="T3" s="599"/>
      <c r="U3" s="203" t="s">
        <v>155</v>
      </c>
      <c r="V3" s="203" t="s">
        <v>155</v>
      </c>
      <c r="W3" s="32" t="s">
        <v>156</v>
      </c>
      <c r="X3" s="203" t="s">
        <v>155</v>
      </c>
      <c r="Y3" s="32" t="s">
        <v>156</v>
      </c>
      <c r="Z3" s="203" t="s">
        <v>155</v>
      </c>
      <c r="AA3" s="32" t="s">
        <v>156</v>
      </c>
      <c r="AB3" s="273" t="s">
        <v>155</v>
      </c>
      <c r="AC3" s="32" t="s">
        <v>156</v>
      </c>
      <c r="AD3" s="406" t="s">
        <v>155</v>
      </c>
      <c r="AE3" s="136" t="s">
        <v>164</v>
      </c>
      <c r="AF3" s="405" t="s">
        <v>155</v>
      </c>
      <c r="AG3" s="27" t="s">
        <v>156</v>
      </c>
      <c r="AH3" s="405" t="s">
        <v>155</v>
      </c>
      <c r="AI3" s="27" t="s">
        <v>156</v>
      </c>
      <c r="AJ3" s="405" t="s">
        <v>155</v>
      </c>
      <c r="AK3" s="27" t="s">
        <v>156</v>
      </c>
      <c r="AM3" s="119" t="s">
        <v>325</v>
      </c>
      <c r="AN3" s="228">
        <f>AN5+AN6+AN7</f>
        <v>7151</v>
      </c>
      <c r="AO3" s="277">
        <f>AO5+AO6+AO7</f>
        <v>6790</v>
      </c>
      <c r="AP3" s="229">
        <f>AO3/AN3*100</f>
        <v>94.951754999300803</v>
      </c>
    </row>
    <row r="4" spans="1:42">
      <c r="A4" s="119" t="s">
        <v>157</v>
      </c>
      <c r="B4" s="120">
        <f t="shared" ref="B4:R4" si="0">B6+B8+B10+B12+B14+B16+B18+B20</f>
        <v>35135058</v>
      </c>
      <c r="C4" s="120">
        <f t="shared" si="0"/>
        <v>16699785.070000002</v>
      </c>
      <c r="D4" s="121">
        <f t="shared" si="0"/>
        <v>99.999999999999986</v>
      </c>
      <c r="E4" s="120">
        <f t="shared" si="0"/>
        <v>20562148.280000001</v>
      </c>
      <c r="F4" s="121">
        <f t="shared" si="0"/>
        <v>100</v>
      </c>
      <c r="G4" s="194">
        <f t="shared" ref="G4:L4" si="1">G6+G8+G10+G12+G14+G16+G18+G20</f>
        <v>19796656.469999999</v>
      </c>
      <c r="H4" s="123">
        <f t="shared" si="1"/>
        <v>100</v>
      </c>
      <c r="I4" s="194">
        <f t="shared" si="1"/>
        <v>21724744.689999998</v>
      </c>
      <c r="J4" s="123">
        <f t="shared" si="1"/>
        <v>100.00000000000003</v>
      </c>
      <c r="K4" s="194">
        <f t="shared" si="1"/>
        <v>27218929.140000001</v>
      </c>
      <c r="L4" s="123">
        <f t="shared" si="1"/>
        <v>100</v>
      </c>
      <c r="M4" s="122">
        <f t="shared" si="0"/>
        <v>31338063.43</v>
      </c>
      <c r="N4" s="123">
        <f t="shared" si="0"/>
        <v>100</v>
      </c>
      <c r="O4" s="122">
        <f>O6+O8+O10+O12+O14+O16+O18+O20+у.у!A12</f>
        <v>18193000</v>
      </c>
      <c r="P4" s="123">
        <f t="shared" si="0"/>
        <v>98.18611553894354</v>
      </c>
      <c r="Q4" s="122">
        <f>Q6+Q8+Q10+Q12+Q14+Q16+Q18+Q20+у.у!B12</f>
        <v>12186900</v>
      </c>
      <c r="R4" s="123">
        <f t="shared" si="0"/>
        <v>94.66640408963724</v>
      </c>
      <c r="T4" s="119" t="s">
        <v>157</v>
      </c>
      <c r="U4" s="120">
        <f>U6+U8+U10+U12+U14+U16+U18+U20</f>
        <v>35135058</v>
      </c>
      <c r="V4" s="120">
        <f>V6+V8+V10+V12+V14+V16+V18+V20</f>
        <v>16699785.070000002</v>
      </c>
      <c r="W4" s="121">
        <f>W6+W8+W10+W12+W14+W16+W18+W20</f>
        <v>99.999999999999986</v>
      </c>
      <c r="X4" s="120">
        <f>E4/1000</f>
        <v>20562.148280000001</v>
      </c>
      <c r="Y4" s="121">
        <f>Y6+Y8+Y10+Y12+Y14+Y16+Y18+Y20</f>
        <v>100</v>
      </c>
      <c r="Z4" s="120">
        <f>G4/1000</f>
        <v>19796.656469999998</v>
      </c>
      <c r="AA4" s="121">
        <f>AA6+AA8+AA10+AA12+AA14+AA16+AA18+AA20</f>
        <v>100</v>
      </c>
      <c r="AB4" s="120">
        <f>I4/1000</f>
        <v>21724.744689999996</v>
      </c>
      <c r="AC4" s="121">
        <f>AC6+AC8+AC10+AC12+AC14+AC16+AC18+AC20</f>
        <v>100.00000000000003</v>
      </c>
      <c r="AD4" s="120">
        <f>K4/1000</f>
        <v>27218.92914</v>
      </c>
      <c r="AE4" s="121">
        <f>AE6+AE8+AE10+AE12+AE14+AE16+AE18+AE20</f>
        <v>100</v>
      </c>
      <c r="AF4" s="122">
        <f>M4/1000</f>
        <v>31338.063429999998</v>
      </c>
      <c r="AG4" s="123">
        <f>AG6+AG8+AG10+AG12+AG14+AG16+AG18+AG20</f>
        <v>100</v>
      </c>
      <c r="AH4" s="122">
        <f>O4/1000</f>
        <v>18193</v>
      </c>
      <c r="AI4" s="123">
        <f>AI6+AI8+AI10+AI12+AI14+AI16+AI18+AI20</f>
        <v>98.18611553894354</v>
      </c>
      <c r="AJ4" s="122">
        <f>Q4/1000</f>
        <v>12186.9</v>
      </c>
      <c r="AK4" s="123">
        <f>AK6+AK8+AK10+AK12+AK14+AK16+AK18+AK20</f>
        <v>94.66640408963724</v>
      </c>
      <c r="AM4" s="129" t="s">
        <v>326</v>
      </c>
      <c r="AN4" s="228"/>
      <c r="AO4" s="277"/>
      <c r="AP4" s="229"/>
    </row>
    <row r="5" spans="1:42">
      <c r="A5" s="124" t="s">
        <v>158</v>
      </c>
      <c r="B5" s="125"/>
      <c r="C5" s="126">
        <f>C4/B4*100</f>
        <v>47.530261854128725</v>
      </c>
      <c r="D5" s="126"/>
      <c r="E5" s="126">
        <f>E4/C4*100</f>
        <v>123.1282210747638</v>
      </c>
      <c r="F5" s="126"/>
      <c r="G5" s="195">
        <f>G4/E4*100</f>
        <v>96.277179798646983</v>
      </c>
      <c r="H5" s="195"/>
      <c r="I5" s="195">
        <f>I4/G4*100</f>
        <v>109.73946394898471</v>
      </c>
      <c r="J5" s="195"/>
      <c r="K5" s="195">
        <f>K4/I4*100</f>
        <v>125.28998397172879</v>
      </c>
      <c r="L5" s="195"/>
      <c r="M5" s="195">
        <f>M4/K4*100</f>
        <v>115.13334440459914</v>
      </c>
      <c r="N5" s="127"/>
      <c r="O5" s="127">
        <f>O4/M4*100</f>
        <v>58.054002094410848</v>
      </c>
      <c r="P5" s="127"/>
      <c r="Q5" s="127">
        <f>Q4/O4*100</f>
        <v>66.986753146814706</v>
      </c>
      <c r="R5" s="128"/>
      <c r="T5" s="124" t="s">
        <v>158</v>
      </c>
      <c r="U5" s="125"/>
      <c r="V5" s="126">
        <f>V4/U4*100</f>
        <v>47.530261854128725</v>
      </c>
      <c r="W5" s="126"/>
      <c r="X5" s="126">
        <f>X4/V4*100</f>
        <v>0.1231282210747638</v>
      </c>
      <c r="Y5" s="126"/>
      <c r="Z5" s="126">
        <f>Z4/X4*100</f>
        <v>96.277179798646969</v>
      </c>
      <c r="AA5" s="126"/>
      <c r="AB5" s="126">
        <f>AB4/Z4*100</f>
        <v>109.73946394898471</v>
      </c>
      <c r="AC5" s="126"/>
      <c r="AD5" s="126">
        <f>AD4/AB4*100</f>
        <v>125.28998397172882</v>
      </c>
      <c r="AE5" s="126"/>
      <c r="AF5" s="126">
        <f>AF4/AD4*100</f>
        <v>115.13334440459914</v>
      </c>
      <c r="AG5" s="127"/>
      <c r="AH5" s="126">
        <f>AH4/AF4*100</f>
        <v>58.054002094410848</v>
      </c>
      <c r="AI5" s="127"/>
      <c r="AJ5" s="127">
        <f>AJ4/AH4*100</f>
        <v>66.986753146814706</v>
      </c>
      <c r="AK5" s="128"/>
      <c r="AM5" s="129" t="s">
        <v>5</v>
      </c>
      <c r="AN5" s="230">
        <f>K32/1000</f>
        <v>2021</v>
      </c>
      <c r="AO5" s="278">
        <v>1700</v>
      </c>
      <c r="AP5" s="229">
        <f t="shared" ref="AP5:AP22" si="2">AO5/AN5*100</f>
        <v>84.116773874319634</v>
      </c>
    </row>
    <row r="6" spans="1:42" ht="26.25">
      <c r="A6" s="129" t="s">
        <v>66</v>
      </c>
      <c r="B6" s="130">
        <v>5497743</v>
      </c>
      <c r="C6" s="131">
        <v>4850825.4400000004</v>
      </c>
      <c r="D6" s="126">
        <f>C6/C4*100</f>
        <v>29.047232761780688</v>
      </c>
      <c r="E6" s="131">
        <v>5138106.57</v>
      </c>
      <c r="F6" s="126">
        <f>E6/E4*100</f>
        <v>24.988179737025025</v>
      </c>
      <c r="G6" s="196">
        <v>5358014.42</v>
      </c>
      <c r="H6" s="195">
        <f>G6/G4*100</f>
        <v>27.065249266307038</v>
      </c>
      <c r="I6" s="196">
        <v>6016287.9699999997</v>
      </c>
      <c r="J6" s="195">
        <f>I6/I4*100</f>
        <v>27.693250511566774</v>
      </c>
      <c r="K6" s="196">
        <v>6509991.2800000003</v>
      </c>
      <c r="L6" s="195">
        <f>K6/K4*100</f>
        <v>23.917146947684806</v>
      </c>
      <c r="M6" s="132">
        <f>'Пр. 9'!C14</f>
        <v>6536000</v>
      </c>
      <c r="N6" s="127">
        <f>M6/M4*100</f>
        <v>20.856425970926693</v>
      </c>
      <c r="O6" s="132">
        <f>'Пр. 9'!D14</f>
        <v>6095622.4000000004</v>
      </c>
      <c r="P6" s="127">
        <f>O6/O4*100</f>
        <v>33.505317429780682</v>
      </c>
      <c r="Q6" s="133">
        <f>'Пр. 9'!E14</f>
        <v>4481182.4000000004</v>
      </c>
      <c r="R6" s="127">
        <f>Q6/Q4*100</f>
        <v>36.770486341891704</v>
      </c>
      <c r="T6" s="129" t="s">
        <v>66</v>
      </c>
      <c r="U6" s="130">
        <v>5497743</v>
      </c>
      <c r="V6" s="131">
        <v>4850825.4400000004</v>
      </c>
      <c r="W6" s="126">
        <f>V6/V4*100</f>
        <v>29.047232761780688</v>
      </c>
      <c r="X6" s="120">
        <f>E6/1000</f>
        <v>5138.1065699999999</v>
      </c>
      <c r="Y6" s="126">
        <f>X6/X4*100</f>
        <v>24.988179737025025</v>
      </c>
      <c r="Z6" s="120">
        <f>G6/1000</f>
        <v>5358.0144199999995</v>
      </c>
      <c r="AA6" s="126">
        <f>Z6/Z4*100</f>
        <v>27.065249266307038</v>
      </c>
      <c r="AB6" s="120">
        <f>I6/1000</f>
        <v>6016.2879699999994</v>
      </c>
      <c r="AC6" s="126">
        <f>AB6/AB4*100</f>
        <v>27.693250511566774</v>
      </c>
      <c r="AD6" s="120">
        <f>K6/1000</f>
        <v>6509.9912800000002</v>
      </c>
      <c r="AE6" s="126">
        <f>AD6/AD4*100</f>
        <v>23.917146947684806</v>
      </c>
      <c r="AF6" s="122">
        <f>M6/1000</f>
        <v>6536</v>
      </c>
      <c r="AG6" s="127">
        <f>AF6/AF4*100</f>
        <v>20.856425970926693</v>
      </c>
      <c r="AH6" s="122">
        <f>O6/1000</f>
        <v>6095.6224000000002</v>
      </c>
      <c r="AI6" s="127">
        <f>AH6/AH4*100</f>
        <v>33.505317429780682</v>
      </c>
      <c r="AJ6" s="122">
        <f>Q6/1000</f>
        <v>4481.1824000000006</v>
      </c>
      <c r="AK6" s="127">
        <f>AJ6/AJ4*100</f>
        <v>36.770486341891711</v>
      </c>
      <c r="AM6" s="129" t="s">
        <v>610</v>
      </c>
      <c r="AN6" s="230">
        <v>300</v>
      </c>
      <c r="AO6" s="278">
        <v>290</v>
      </c>
      <c r="AP6" s="229">
        <f t="shared" si="2"/>
        <v>96.666666666666671</v>
      </c>
    </row>
    <row r="7" spans="1:42">
      <c r="A7" s="124" t="s">
        <v>158</v>
      </c>
      <c r="B7" s="130"/>
      <c r="C7" s="126">
        <f>C6/B6*100</f>
        <v>88.233033810420025</v>
      </c>
      <c r="D7" s="126"/>
      <c r="E7" s="126">
        <f>E6/C6*100</f>
        <v>105.92231432677568</v>
      </c>
      <c r="F7" s="126"/>
      <c r="G7" s="195">
        <f>G6/E6*100</f>
        <v>104.27993944858952</v>
      </c>
      <c r="H7" s="195"/>
      <c r="I7" s="195">
        <f>I6/G6*100</f>
        <v>112.28577413944325</v>
      </c>
      <c r="J7" s="195"/>
      <c r="K7" s="195">
        <f>K6/I6*100</f>
        <v>108.20611168318128</v>
      </c>
      <c r="L7" s="195"/>
      <c r="M7" s="195">
        <f>M6/K6*100</f>
        <v>100.39952004359674</v>
      </c>
      <c r="N7" s="127"/>
      <c r="O7" s="127">
        <f>O6/M6*100</f>
        <v>93.262276621787038</v>
      </c>
      <c r="P7" s="127"/>
      <c r="Q7" s="127">
        <f>Q6/O6*100</f>
        <v>73.514763644152239</v>
      </c>
      <c r="R7" s="128"/>
      <c r="T7" s="124" t="s">
        <v>158</v>
      </c>
      <c r="U7" s="130"/>
      <c r="V7" s="126">
        <f>V6/U6*100</f>
        <v>88.233033810420025</v>
      </c>
      <c r="W7" s="126"/>
      <c r="X7" s="126">
        <f>X6/V6*100</f>
        <v>0.10592231432677568</v>
      </c>
      <c r="Y7" s="126"/>
      <c r="Z7" s="126">
        <f>Z6/X6*100</f>
        <v>104.27993944858952</v>
      </c>
      <c r="AA7" s="126"/>
      <c r="AB7" s="126">
        <f>AB6/Z6*100</f>
        <v>112.28577413944325</v>
      </c>
      <c r="AC7" s="126"/>
      <c r="AD7" s="126">
        <f>AD6/AB6*100</f>
        <v>108.20611168318131</v>
      </c>
      <c r="AE7" s="126"/>
      <c r="AF7" s="126">
        <f>AF6/AD6*100</f>
        <v>100.39952004359674</v>
      </c>
      <c r="AG7" s="127"/>
      <c r="AH7" s="127">
        <f>AH6/AF6*100</f>
        <v>93.262276621787038</v>
      </c>
      <c r="AI7" s="127"/>
      <c r="AJ7" s="127">
        <f>AJ6/AH6*100</f>
        <v>73.514763644152254</v>
      </c>
      <c r="AK7" s="128"/>
      <c r="AM7" s="129" t="s">
        <v>12</v>
      </c>
      <c r="AN7" s="230">
        <v>4830</v>
      </c>
      <c r="AO7" s="278">
        <v>4800</v>
      </c>
      <c r="AP7" s="229">
        <f t="shared" si="2"/>
        <v>99.378881987577643</v>
      </c>
    </row>
    <row r="8" spans="1:42">
      <c r="A8" s="129" t="s">
        <v>70</v>
      </c>
      <c r="B8" s="130">
        <v>151500</v>
      </c>
      <c r="C8" s="131">
        <v>138700</v>
      </c>
      <c r="D8" s="126">
        <f>C8/C4*100</f>
        <v>0.83054961137892047</v>
      </c>
      <c r="E8" s="131">
        <v>182018</v>
      </c>
      <c r="F8" s="126">
        <f>E8/E4*100</f>
        <v>0.88520906240639163</v>
      </c>
      <c r="G8" s="196">
        <v>200550</v>
      </c>
      <c r="H8" s="195">
        <f>G8/G4*100</f>
        <v>1.0130498566963313</v>
      </c>
      <c r="I8" s="196">
        <v>225500</v>
      </c>
      <c r="J8" s="195">
        <f>I8/I4*100</f>
        <v>1.0379868818610269</v>
      </c>
      <c r="K8" s="196">
        <v>232400</v>
      </c>
      <c r="L8" s="195">
        <f>K8/K4*100</f>
        <v>0.85381757233965894</v>
      </c>
      <c r="M8" s="132">
        <f>'Пр. 9'!C20</f>
        <v>252675</v>
      </c>
      <c r="N8" s="127">
        <f>M8/M4*100</f>
        <v>0.80628785682434234</v>
      </c>
      <c r="O8" s="132">
        <f>'Пр. 9'!D20</f>
        <v>246500</v>
      </c>
      <c r="P8" s="127">
        <f>O8/O4*100</f>
        <v>1.3549167262133788</v>
      </c>
      <c r="Q8" s="132">
        <f>'Пр. 9'!E20</f>
        <v>254900</v>
      </c>
      <c r="R8" s="127">
        <f>Q8/Q4*100</f>
        <v>2.0915901500791834</v>
      </c>
      <c r="T8" s="129" t="s">
        <v>70</v>
      </c>
      <c r="U8" s="130">
        <v>151500</v>
      </c>
      <c r="V8" s="131">
        <v>138700</v>
      </c>
      <c r="W8" s="126">
        <f>V8/V4*100</f>
        <v>0.83054961137892047</v>
      </c>
      <c r="X8" s="120">
        <f>E8/1000</f>
        <v>182.018</v>
      </c>
      <c r="Y8" s="126">
        <f>X8/X4*100</f>
        <v>0.88520906240639163</v>
      </c>
      <c r="Z8" s="120">
        <f>G8/1000</f>
        <v>200.55</v>
      </c>
      <c r="AA8" s="126">
        <f>Z8/Z4*100</f>
        <v>1.0130498566963315</v>
      </c>
      <c r="AB8" s="120">
        <f>I8/1000</f>
        <v>225.5</v>
      </c>
      <c r="AC8" s="126">
        <f>AB8/AB4*100</f>
        <v>1.0379868818610269</v>
      </c>
      <c r="AD8" s="120">
        <f>K8/1000</f>
        <v>232.4</v>
      </c>
      <c r="AE8" s="126">
        <f>AD8/AD4*100</f>
        <v>0.85381757233965894</v>
      </c>
      <c r="AF8" s="122">
        <f>M8/1000</f>
        <v>252.67500000000001</v>
      </c>
      <c r="AG8" s="127">
        <f>AF8/AF4*100</f>
        <v>0.80628785682434256</v>
      </c>
      <c r="AH8" s="122">
        <f>O8/1000</f>
        <v>246.5</v>
      </c>
      <c r="AI8" s="127">
        <f>AH8/AH4*100</f>
        <v>1.3549167262133788</v>
      </c>
      <c r="AJ8" s="122">
        <f>Q8/1000</f>
        <v>254.9</v>
      </c>
      <c r="AK8" s="127">
        <f>AJ8/AJ4*100</f>
        <v>2.0915901500791834</v>
      </c>
      <c r="AM8" s="119" t="s">
        <v>168</v>
      </c>
      <c r="AN8" s="228">
        <f>AN10+AN11</f>
        <v>258.27</v>
      </c>
      <c r="AO8" s="277">
        <f>AO10+AO11</f>
        <v>801</v>
      </c>
      <c r="AP8" s="229">
        <f t="shared" si="2"/>
        <v>310.14055058659545</v>
      </c>
    </row>
    <row r="9" spans="1:42">
      <c r="A9" s="124" t="s">
        <v>158</v>
      </c>
      <c r="B9" s="130"/>
      <c r="C9" s="126">
        <f>C8/B8*100</f>
        <v>91.551155115511548</v>
      </c>
      <c r="D9" s="126"/>
      <c r="E9" s="126">
        <f>E8/C8*100</f>
        <v>131.2314347512617</v>
      </c>
      <c r="F9" s="126"/>
      <c r="G9" s="195">
        <f>G8/E8*100</f>
        <v>110.18141062971793</v>
      </c>
      <c r="H9" s="195"/>
      <c r="I9" s="195">
        <f>I8/G8*100</f>
        <v>112.44078783345799</v>
      </c>
      <c r="J9" s="195"/>
      <c r="K9" s="195">
        <f>K8/I8*100</f>
        <v>103.05986696230597</v>
      </c>
      <c r="L9" s="195"/>
      <c r="M9" s="195">
        <f>M8/K8*100</f>
        <v>108.72418244406197</v>
      </c>
      <c r="N9" s="127"/>
      <c r="O9" s="127">
        <f>O8/M8*100</f>
        <v>97.55614920352231</v>
      </c>
      <c r="P9" s="127"/>
      <c r="Q9" s="127">
        <f>Q8/O8*100</f>
        <v>103.40770791075052</v>
      </c>
      <c r="R9" s="128"/>
      <c r="T9" s="124" t="s">
        <v>158</v>
      </c>
      <c r="U9" s="130"/>
      <c r="V9" s="126">
        <f>V8/U8*100</f>
        <v>91.551155115511548</v>
      </c>
      <c r="W9" s="126"/>
      <c r="X9" s="126">
        <f>X8/V8*100</f>
        <v>0.13123143475126173</v>
      </c>
      <c r="Y9" s="126"/>
      <c r="Z9" s="126">
        <f>Z8/X8*100</f>
        <v>110.18141062971793</v>
      </c>
      <c r="AA9" s="126"/>
      <c r="AB9" s="126">
        <f>AB8/Z8*100</f>
        <v>112.44078783345799</v>
      </c>
      <c r="AC9" s="126"/>
      <c r="AD9" s="126">
        <f>AD8/AB8*100</f>
        <v>103.05986696230597</v>
      </c>
      <c r="AE9" s="126"/>
      <c r="AF9" s="126">
        <f>AF8/AD8*100</f>
        <v>108.72418244406197</v>
      </c>
      <c r="AG9" s="127"/>
      <c r="AH9" s="127">
        <f>AH8/AF8*100</f>
        <v>97.556149203522295</v>
      </c>
      <c r="AI9" s="127"/>
      <c r="AJ9" s="127">
        <f>AJ8/AH8*100</f>
        <v>103.40770791075052</v>
      </c>
      <c r="AK9" s="128"/>
      <c r="AM9" s="129" t="s">
        <v>326</v>
      </c>
      <c r="AN9" s="228"/>
      <c r="AO9" s="277"/>
      <c r="AP9" s="229"/>
    </row>
    <row r="10" spans="1:42">
      <c r="A10" s="134" t="s">
        <v>159</v>
      </c>
      <c r="B10" s="130">
        <v>541863</v>
      </c>
      <c r="C10" s="131">
        <v>227934</v>
      </c>
      <c r="D10" s="126">
        <f>C10/C4*100</f>
        <v>1.3648918177364302</v>
      </c>
      <c r="E10" s="131">
        <v>715859.29</v>
      </c>
      <c r="F10" s="126">
        <f>E10/E4*100</f>
        <v>3.4814421151523764</v>
      </c>
      <c r="G10" s="196">
        <v>820606.66</v>
      </c>
      <c r="H10" s="195">
        <f>G10/G4*100</f>
        <v>4.1451780569287218</v>
      </c>
      <c r="I10" s="196">
        <v>1080000</v>
      </c>
      <c r="J10" s="195">
        <f>I10/I4*100</f>
        <v>4.9712897224386214</v>
      </c>
      <c r="K10" s="196">
        <v>950000</v>
      </c>
      <c r="L10" s="195">
        <f>K10/K4*100</f>
        <v>3.4902181313368157</v>
      </c>
      <c r="M10" s="132">
        <f>'Пр. 9'!C22</f>
        <v>1495000</v>
      </c>
      <c r="N10" s="127">
        <f>M10/M4*100</f>
        <v>4.7705564300084768</v>
      </c>
      <c r="O10" s="132">
        <f>'Пр. 9'!D22</f>
        <v>1200000</v>
      </c>
      <c r="P10" s="127">
        <f>O10/O4*100</f>
        <v>6.5959434947507276</v>
      </c>
      <c r="Q10" s="132">
        <f>'Пр. 9'!E22</f>
        <v>0</v>
      </c>
      <c r="R10" s="127">
        <f>Q10/Q4*100</f>
        <v>0</v>
      </c>
      <c r="T10" s="134" t="s">
        <v>159</v>
      </c>
      <c r="U10" s="130">
        <v>541863</v>
      </c>
      <c r="V10" s="131">
        <v>227934</v>
      </c>
      <c r="W10" s="126">
        <f>V10/V4*100</f>
        <v>1.3648918177364302</v>
      </c>
      <c r="X10" s="120">
        <f>E10/1000</f>
        <v>715.85928999999999</v>
      </c>
      <c r="Y10" s="126">
        <f>X10/X4*100</f>
        <v>3.4814421151523764</v>
      </c>
      <c r="Z10" s="120">
        <f>G10/1000</f>
        <v>820.60666000000003</v>
      </c>
      <c r="AA10" s="126">
        <f>Z10/Z4*100</f>
        <v>4.1451780569287227</v>
      </c>
      <c r="AB10" s="120">
        <f>I10/1000</f>
        <v>1080</v>
      </c>
      <c r="AC10" s="126">
        <f>AB10/AB4*100</f>
        <v>4.9712897224386214</v>
      </c>
      <c r="AD10" s="120">
        <f>K10/1000</f>
        <v>950</v>
      </c>
      <c r="AE10" s="126">
        <f>AD10/AD4*100</f>
        <v>3.4902181313368157</v>
      </c>
      <c r="AF10" s="122">
        <f>M10/1000</f>
        <v>1495</v>
      </c>
      <c r="AG10" s="127">
        <f>AF10/AF4*100</f>
        <v>4.7705564300084768</v>
      </c>
      <c r="AH10" s="122">
        <f>O10/1000</f>
        <v>1200</v>
      </c>
      <c r="AI10" s="127">
        <f>AH10/AH4*100</f>
        <v>6.5959434947507276</v>
      </c>
      <c r="AJ10" s="122">
        <f>Q10/1000</f>
        <v>0</v>
      </c>
      <c r="AK10" s="127">
        <f>AJ10/AJ4*100</f>
        <v>0</v>
      </c>
      <c r="AM10" s="129" t="s">
        <v>445</v>
      </c>
      <c r="AN10" s="230">
        <v>257.27</v>
      </c>
      <c r="AO10" s="278">
        <v>800</v>
      </c>
      <c r="AP10" s="229">
        <f t="shared" si="2"/>
        <v>310.95735997201388</v>
      </c>
    </row>
    <row r="11" spans="1:42">
      <c r="A11" s="124" t="s">
        <v>158</v>
      </c>
      <c r="B11" s="130"/>
      <c r="C11" s="126">
        <f>C10/B10*100</f>
        <v>42.064876177188701</v>
      </c>
      <c r="D11" s="126"/>
      <c r="E11" s="126">
        <f>E10/C10*100</f>
        <v>314.06428615300922</v>
      </c>
      <c r="F11" s="126"/>
      <c r="G11" s="195">
        <f>G10/E10*100</f>
        <v>114.63239654262223</v>
      </c>
      <c r="H11" s="195"/>
      <c r="I11" s="195">
        <f>I10/G10*100</f>
        <v>131.60994818150758</v>
      </c>
      <c r="J11" s="195"/>
      <c r="K11" s="195">
        <f>K10/I10*100</f>
        <v>87.962962962962962</v>
      </c>
      <c r="L11" s="195"/>
      <c r="M11" s="195">
        <f>M10/K10*100</f>
        <v>157.36842105263159</v>
      </c>
      <c r="N11" s="127"/>
      <c r="O11" s="127">
        <f>O10/M10*100</f>
        <v>80.267558528428097</v>
      </c>
      <c r="P11" s="127"/>
      <c r="Q11" s="127">
        <f>Q10/O10*100</f>
        <v>0</v>
      </c>
      <c r="R11" s="128"/>
      <c r="T11" s="124" t="s">
        <v>158</v>
      </c>
      <c r="U11" s="130"/>
      <c r="V11" s="126">
        <f>V10/U10*100</f>
        <v>42.064876177188701</v>
      </c>
      <c r="W11" s="126"/>
      <c r="X11" s="126">
        <f>X10/V10*100</f>
        <v>0.31406428615300919</v>
      </c>
      <c r="Y11" s="126"/>
      <c r="Z11" s="126">
        <f>Z10/X10*100</f>
        <v>114.63239654262223</v>
      </c>
      <c r="AA11" s="126"/>
      <c r="AB11" s="126">
        <f>AB10/Z10*100</f>
        <v>131.60994818150758</v>
      </c>
      <c r="AC11" s="126"/>
      <c r="AD11" s="126">
        <f>AD10/AB10*100</f>
        <v>87.962962962962962</v>
      </c>
      <c r="AE11" s="126"/>
      <c r="AF11" s="126">
        <f>AF10/AD10*100</f>
        <v>157.36842105263159</v>
      </c>
      <c r="AG11" s="127"/>
      <c r="AH11" s="127">
        <f>AH10/AF10*100</f>
        <v>80.267558528428097</v>
      </c>
      <c r="AI11" s="127"/>
      <c r="AJ11" s="127">
        <f>AJ10/AH10*100</f>
        <v>0</v>
      </c>
      <c r="AK11" s="128"/>
      <c r="AM11" s="129" t="s">
        <v>327</v>
      </c>
      <c r="AN11" s="230">
        <v>1</v>
      </c>
      <c r="AO11" s="278">
        <v>1</v>
      </c>
      <c r="AP11" s="229">
        <f t="shared" si="2"/>
        <v>100</v>
      </c>
    </row>
    <row r="12" spans="1:42">
      <c r="A12" s="129" t="s">
        <v>74</v>
      </c>
      <c r="B12" s="130">
        <v>4408215</v>
      </c>
      <c r="C12" s="131">
        <v>337650</v>
      </c>
      <c r="D12" s="126">
        <f>C12/C4*100</f>
        <v>2.0218823091715392</v>
      </c>
      <c r="E12" s="131">
        <v>923000</v>
      </c>
      <c r="F12" s="126">
        <f>E12/E4*100</f>
        <v>4.4888305804980799</v>
      </c>
      <c r="G12" s="196">
        <v>2296000</v>
      </c>
      <c r="H12" s="195">
        <f>G12/G4*100</f>
        <v>11.597918080153462</v>
      </c>
      <c r="I12" s="196">
        <v>3573517</v>
      </c>
      <c r="J12" s="195">
        <f>I12/I4*100</f>
        <v>16.449063273203421</v>
      </c>
      <c r="K12" s="196">
        <v>4308517</v>
      </c>
      <c r="L12" s="195">
        <f>K12/K4*100</f>
        <v>15.829120160603056</v>
      </c>
      <c r="M12" s="132">
        <f>'Пр. 9'!C25</f>
        <v>4931964</v>
      </c>
      <c r="N12" s="127">
        <f>M12/M4*100</f>
        <v>15.7379348312845</v>
      </c>
      <c r="O12" s="132">
        <f>'Пр. 9'!D25</f>
        <v>1468517</v>
      </c>
      <c r="P12" s="127">
        <f>O12/O4*100</f>
        <v>8.071879294234046</v>
      </c>
      <c r="Q12" s="132">
        <f>'Пр. 9'!E25</f>
        <v>1468517</v>
      </c>
      <c r="R12" s="127">
        <f>Q12/Q4*100</f>
        <v>12.049963485381845</v>
      </c>
      <c r="T12" s="129" t="s">
        <v>74</v>
      </c>
      <c r="U12" s="130">
        <v>4408215</v>
      </c>
      <c r="V12" s="131">
        <v>337650</v>
      </c>
      <c r="W12" s="126">
        <f>V12/V4*100</f>
        <v>2.0218823091715392</v>
      </c>
      <c r="X12" s="120">
        <f>E12/1000</f>
        <v>923</v>
      </c>
      <c r="Y12" s="126">
        <f>X12/X4*100</f>
        <v>4.4888305804980799</v>
      </c>
      <c r="Z12" s="120">
        <f>G12/1000</f>
        <v>2296</v>
      </c>
      <c r="AA12" s="126">
        <f>Z12/Z4*100</f>
        <v>11.597918080153462</v>
      </c>
      <c r="AB12" s="120">
        <f>I12/1000</f>
        <v>3573.5169999999998</v>
      </c>
      <c r="AC12" s="126">
        <f>AB12/AB4*100</f>
        <v>16.449063273203421</v>
      </c>
      <c r="AD12" s="120">
        <f>K12/1000</f>
        <v>4308.5169999999998</v>
      </c>
      <c r="AE12" s="126">
        <f>AD12/AD4*100</f>
        <v>15.829120160603056</v>
      </c>
      <c r="AF12" s="122">
        <f>M12/1000</f>
        <v>4931.9639999999999</v>
      </c>
      <c r="AG12" s="127">
        <f>AF12/AF4*100</f>
        <v>15.7379348312845</v>
      </c>
      <c r="AH12" s="122">
        <f>O12/1000</f>
        <v>1468.5170000000001</v>
      </c>
      <c r="AI12" s="127">
        <f>AH12/AH4*100</f>
        <v>8.071879294234046</v>
      </c>
      <c r="AJ12" s="122">
        <f>Q12/1000</f>
        <v>1468.5170000000001</v>
      </c>
      <c r="AK12" s="127">
        <f>AJ12/AJ4*100</f>
        <v>12.049963485381845</v>
      </c>
      <c r="AM12" s="119" t="s">
        <v>169</v>
      </c>
      <c r="AN12" s="228">
        <v>18216.05</v>
      </c>
      <c r="AO12" s="277">
        <v>18000</v>
      </c>
      <c r="AP12" s="229">
        <f t="shared" si="2"/>
        <v>98.813958020536845</v>
      </c>
    </row>
    <row r="13" spans="1:42">
      <c r="A13" s="124" t="s">
        <v>158</v>
      </c>
      <c r="B13" s="130"/>
      <c r="C13" s="126">
        <f>C12/B12*100</f>
        <v>7.6595628842967054</v>
      </c>
      <c r="D13" s="126"/>
      <c r="E13" s="126">
        <f>E12/C12*100</f>
        <v>273.35998815341333</v>
      </c>
      <c r="F13" s="126"/>
      <c r="G13" s="195">
        <f>G12/E12*100</f>
        <v>248.75406283856987</v>
      </c>
      <c r="H13" s="195"/>
      <c r="I13" s="195">
        <f>I12/G12*100</f>
        <v>155.64098432055749</v>
      </c>
      <c r="J13" s="195"/>
      <c r="K13" s="195">
        <f>K12/I12*100</f>
        <v>120.56797267230014</v>
      </c>
      <c r="L13" s="195"/>
      <c r="M13" s="195">
        <f>M12/K12*100</f>
        <v>114.47010653549701</v>
      </c>
      <c r="N13" s="127"/>
      <c r="O13" s="127">
        <f>O12/M12*100</f>
        <v>29.775501199927657</v>
      </c>
      <c r="P13" s="127"/>
      <c r="Q13" s="127">
        <f>Q12/O12*100</f>
        <v>100</v>
      </c>
      <c r="R13" s="128"/>
      <c r="T13" s="124" t="s">
        <v>158</v>
      </c>
      <c r="U13" s="130"/>
      <c r="V13" s="126">
        <f>V12/U12*100</f>
        <v>7.6595628842967054</v>
      </c>
      <c r="W13" s="126"/>
      <c r="X13" s="126">
        <f>X12/V12*100</f>
        <v>0.27335998815341328</v>
      </c>
      <c r="Y13" s="126"/>
      <c r="Z13" s="126">
        <f>Z12/X12*100</f>
        <v>248.75406283856987</v>
      </c>
      <c r="AA13" s="126"/>
      <c r="AB13" s="126">
        <f>AB12/Z12*100</f>
        <v>155.64098432055749</v>
      </c>
      <c r="AC13" s="126"/>
      <c r="AD13" s="126">
        <f>AD12/AB12*100</f>
        <v>120.56797267230014</v>
      </c>
      <c r="AE13" s="126"/>
      <c r="AF13" s="126">
        <f>AF12/AD12*100</f>
        <v>114.47010653549702</v>
      </c>
      <c r="AG13" s="127"/>
      <c r="AH13" s="127"/>
      <c r="AI13" s="127"/>
      <c r="AJ13" s="127"/>
      <c r="AK13" s="128"/>
      <c r="AM13" s="119" t="s">
        <v>328</v>
      </c>
      <c r="AN13" s="228">
        <f>AN3+AN8+AN12</f>
        <v>25625.32</v>
      </c>
      <c r="AO13" s="277">
        <f>AO3+AO8+AO12</f>
        <v>25591</v>
      </c>
      <c r="AP13" s="229">
        <f t="shared" si="2"/>
        <v>99.866069965175072</v>
      </c>
    </row>
    <row r="14" spans="1:42" ht="26.25">
      <c r="A14" s="129" t="s">
        <v>75</v>
      </c>
      <c r="B14" s="130">
        <v>15755246</v>
      </c>
      <c r="C14" s="131">
        <v>3106583.52</v>
      </c>
      <c r="D14" s="126">
        <f>C14/C4*100</f>
        <v>18.602535942697614</v>
      </c>
      <c r="E14" s="131">
        <v>5163778.18</v>
      </c>
      <c r="F14" s="126">
        <f>E14/E4*100</f>
        <v>25.113028608117787</v>
      </c>
      <c r="G14" s="196">
        <v>2200321.4900000002</v>
      </c>
      <c r="H14" s="195">
        <f>G14/G4*100</f>
        <v>11.114611668563244</v>
      </c>
      <c r="I14" s="196">
        <v>1808645.01</v>
      </c>
      <c r="J14" s="195">
        <f>I14/I4*100</f>
        <v>8.3252762497712016</v>
      </c>
      <c r="K14" s="196">
        <v>5361200</v>
      </c>
      <c r="L14" s="195">
        <f>K14/K4*100</f>
        <v>19.696586784971512</v>
      </c>
      <c r="M14" s="132">
        <f>'Пр. 9'!C29</f>
        <v>6412620.75</v>
      </c>
      <c r="N14" s="127">
        <f>M14/M4*100</f>
        <v>20.462721840881791</v>
      </c>
      <c r="O14" s="132">
        <f>'Пр. 9'!D29</f>
        <v>2445000</v>
      </c>
      <c r="P14" s="127">
        <f>O14/O4*100</f>
        <v>13.439234870554609</v>
      </c>
      <c r="Q14" s="132">
        <f>'Пр. 9'!E29</f>
        <v>545000</v>
      </c>
      <c r="R14" s="127">
        <f>Q14/Q4*100</f>
        <v>4.4720150325349355</v>
      </c>
      <c r="T14" s="129" t="s">
        <v>75</v>
      </c>
      <c r="U14" s="130">
        <v>15755246</v>
      </c>
      <c r="V14" s="131">
        <v>3106583.52</v>
      </c>
      <c r="W14" s="126">
        <f>V14/V4*100</f>
        <v>18.602535942697614</v>
      </c>
      <c r="X14" s="120">
        <f>E14/1000</f>
        <v>5163.7781799999993</v>
      </c>
      <c r="Y14" s="126">
        <f>X14/X4*100</f>
        <v>25.113028608117784</v>
      </c>
      <c r="Z14" s="120">
        <f>G14/1000</f>
        <v>2200.3214900000003</v>
      </c>
      <c r="AA14" s="126">
        <f>Z14/Z4*100</f>
        <v>11.114611668563244</v>
      </c>
      <c r="AB14" s="120">
        <f>I14/1000</f>
        <v>1808.64501</v>
      </c>
      <c r="AC14" s="126">
        <f>AB14/AB4*100</f>
        <v>8.3252762497712016</v>
      </c>
      <c r="AD14" s="120">
        <f>K14/1000</f>
        <v>5361.2</v>
      </c>
      <c r="AE14" s="126">
        <f>AD14/AD4*100</f>
        <v>19.696586784971512</v>
      </c>
      <c r="AF14" s="122">
        <f>M14/1000</f>
        <v>6412.62075</v>
      </c>
      <c r="AG14" s="127">
        <f>AF14/AF4*100</f>
        <v>20.462721840881795</v>
      </c>
      <c r="AH14" s="122">
        <f>O14/1000</f>
        <v>2445</v>
      </c>
      <c r="AI14" s="127">
        <f>AH14/AH4*100</f>
        <v>13.439234870554609</v>
      </c>
      <c r="AJ14" s="122">
        <f>Q14/1000</f>
        <v>545</v>
      </c>
      <c r="AK14" s="127">
        <f>AJ14/AJ4*100</f>
        <v>4.4720150325349355</v>
      </c>
      <c r="AM14" s="231"/>
      <c r="AN14" s="232"/>
      <c r="AO14" s="231"/>
      <c r="AP14" s="229"/>
    </row>
    <row r="15" spans="1:42">
      <c r="A15" s="124" t="s">
        <v>158</v>
      </c>
      <c r="B15" s="130"/>
      <c r="C15" s="126">
        <f>C14/B14*100</f>
        <v>19.717772226469837</v>
      </c>
      <c r="D15" s="126"/>
      <c r="E15" s="126">
        <f>E14/C14*100</f>
        <v>166.22048455339774</v>
      </c>
      <c r="F15" s="126"/>
      <c r="G15" s="195">
        <f>G14/E14*100</f>
        <v>42.610689562966478</v>
      </c>
      <c r="H15" s="195"/>
      <c r="I15" s="195">
        <f>I14/G14*100</f>
        <v>82.199124910605676</v>
      </c>
      <c r="J15" s="195"/>
      <c r="K15" s="195">
        <f>K14/I14*100</f>
        <v>296.4207995686229</v>
      </c>
      <c r="L15" s="195"/>
      <c r="M15" s="195">
        <f>M14/K14*100</f>
        <v>119.61166809669477</v>
      </c>
      <c r="N15" s="127"/>
      <c r="O15" s="127">
        <f>O14/M14*100</f>
        <v>38.127937006098485</v>
      </c>
      <c r="P15" s="127"/>
      <c r="Q15" s="127">
        <f>Q14/O14*100</f>
        <v>22.290388548057262</v>
      </c>
      <c r="R15" s="128"/>
      <c r="T15" s="124" t="s">
        <v>158</v>
      </c>
      <c r="U15" s="130"/>
      <c r="V15" s="126">
        <f>V14/U14*100</f>
        <v>19.717772226469837</v>
      </c>
      <c r="W15" s="126"/>
      <c r="X15" s="126">
        <f>X14/V14*100</f>
        <v>0.16622048455339772</v>
      </c>
      <c r="Y15" s="126"/>
      <c r="Z15" s="126">
        <f>Z14/X14*100</f>
        <v>42.610689562966478</v>
      </c>
      <c r="AA15" s="126"/>
      <c r="AB15" s="126">
        <f>AB14/Z14*100</f>
        <v>82.199124910605676</v>
      </c>
      <c r="AC15" s="126"/>
      <c r="AD15" s="126">
        <f>AD14/AB14*100</f>
        <v>296.4207995686229</v>
      </c>
      <c r="AE15" s="126"/>
      <c r="AF15" s="126">
        <f>AF14/AD14*100</f>
        <v>119.61166809669477</v>
      </c>
      <c r="AG15" s="127"/>
      <c r="AH15" s="127">
        <f>AH14/AF14*100</f>
        <v>38.127937006098485</v>
      </c>
      <c r="AI15" s="127"/>
      <c r="AJ15" s="127">
        <f>AJ14/AH14*100</f>
        <v>22.290388548057262</v>
      </c>
      <c r="AK15" s="128"/>
      <c r="AM15" s="233" t="s">
        <v>170</v>
      </c>
      <c r="AN15" s="234"/>
      <c r="AO15" s="279"/>
      <c r="AP15" s="229"/>
    </row>
    <row r="16" spans="1:42">
      <c r="A16" s="124" t="s">
        <v>146</v>
      </c>
      <c r="B16" s="130">
        <v>183409</v>
      </c>
      <c r="C16" s="131">
        <v>166346.88</v>
      </c>
      <c r="D16" s="126">
        <f>C16/C4*100</f>
        <v>0.99610192168778611</v>
      </c>
      <c r="E16" s="131">
        <v>219262.13</v>
      </c>
      <c r="F16" s="126">
        <f>E16/E4*100</f>
        <v>1.0663386286989658</v>
      </c>
      <c r="G16" s="196">
        <v>230000</v>
      </c>
      <c r="H16" s="195">
        <f>G16/G4*100</f>
        <v>1.1618123512348852</v>
      </c>
      <c r="I16" s="196">
        <v>230000</v>
      </c>
      <c r="J16" s="195">
        <f>I16/I4*100</f>
        <v>1.0587005890378545</v>
      </c>
      <c r="K16" s="196">
        <v>230000</v>
      </c>
      <c r="L16" s="195">
        <f>K16/K4*100</f>
        <v>0.84500017916575543</v>
      </c>
      <c r="M16" s="135">
        <f>'Пр. 9'!C33</f>
        <v>230000</v>
      </c>
      <c r="N16" s="127">
        <f>M16/M4*100</f>
        <v>0.73393175846284264</v>
      </c>
      <c r="O16" s="135">
        <f>'Пр. 9'!D33</f>
        <v>230000</v>
      </c>
      <c r="P16" s="127">
        <f>O16/O4*100</f>
        <v>1.2642225031605563</v>
      </c>
      <c r="Q16" s="135">
        <f>'Пр. 9'!E33</f>
        <v>220000</v>
      </c>
      <c r="R16" s="127">
        <f>Q16/Q4*100</f>
        <v>1.8052170773535516</v>
      </c>
      <c r="T16" s="124" t="s">
        <v>146</v>
      </c>
      <c r="U16" s="130">
        <v>183409</v>
      </c>
      <c r="V16" s="131">
        <v>166346.88</v>
      </c>
      <c r="W16" s="126">
        <f>V16/V4*100</f>
        <v>0.99610192168778611</v>
      </c>
      <c r="X16" s="120">
        <f>E16/1000</f>
        <v>219.26213000000001</v>
      </c>
      <c r="Y16" s="126">
        <f>X16/X4*100</f>
        <v>1.0663386286989658</v>
      </c>
      <c r="Z16" s="120">
        <f>G16/1000</f>
        <v>230</v>
      </c>
      <c r="AA16" s="126">
        <f>Z16/Z4*100</f>
        <v>1.1618123512348852</v>
      </c>
      <c r="AB16" s="120">
        <f>I16/1000</f>
        <v>230</v>
      </c>
      <c r="AC16" s="126">
        <f>AB16/AB4*100</f>
        <v>1.0587005890378547</v>
      </c>
      <c r="AD16" s="120">
        <f>K16/1000</f>
        <v>230</v>
      </c>
      <c r="AE16" s="126">
        <f>AD16/AD4*100</f>
        <v>0.84500017916575543</v>
      </c>
      <c r="AF16" s="122">
        <f>M16/1000</f>
        <v>230</v>
      </c>
      <c r="AG16" s="127">
        <f>AF16/AF4*100</f>
        <v>0.73393175846284264</v>
      </c>
      <c r="AH16" s="122">
        <f>O16/1000</f>
        <v>230</v>
      </c>
      <c r="AI16" s="127">
        <f>AH16/AH4*100</f>
        <v>1.2642225031605563</v>
      </c>
      <c r="AJ16" s="122">
        <f>Q16/1000</f>
        <v>220</v>
      </c>
      <c r="AK16" s="127">
        <f>AJ16/AJ4*100</f>
        <v>1.8052170773535519</v>
      </c>
      <c r="AM16" s="129" t="s">
        <v>66</v>
      </c>
      <c r="AN16" s="230">
        <f>AD6</f>
        <v>6509.9912800000002</v>
      </c>
      <c r="AO16" s="278">
        <v>6000</v>
      </c>
      <c r="AP16" s="229">
        <f t="shared" si="2"/>
        <v>92.166022071845234</v>
      </c>
    </row>
    <row r="17" spans="1:42">
      <c r="A17" s="124" t="s">
        <v>158</v>
      </c>
      <c r="B17" s="130"/>
      <c r="C17" s="126">
        <f>C16/B16*100</f>
        <v>90.697228598378487</v>
      </c>
      <c r="D17" s="126"/>
      <c r="E17" s="126">
        <f>E16/C16*100</f>
        <v>131.81018483785206</v>
      </c>
      <c r="F17" s="126"/>
      <c r="G17" s="195">
        <f>G16/E16*100</f>
        <v>104.89727523854665</v>
      </c>
      <c r="H17" s="195"/>
      <c r="I17" s="195">
        <f>I16/G16*100</f>
        <v>100</v>
      </c>
      <c r="J17" s="195"/>
      <c r="K17" s="195">
        <f>K16/I16*100</f>
        <v>100</v>
      </c>
      <c r="L17" s="195"/>
      <c r="M17" s="195">
        <f>M16/K16*100</f>
        <v>100</v>
      </c>
      <c r="N17" s="127"/>
      <c r="O17" s="127">
        <f>O16/M16*100</f>
        <v>100</v>
      </c>
      <c r="P17" s="127"/>
      <c r="Q17" s="127">
        <f>Q16/O16*100</f>
        <v>95.652173913043484</v>
      </c>
      <c r="R17" s="128"/>
      <c r="T17" s="124" t="s">
        <v>158</v>
      </c>
      <c r="U17" s="130"/>
      <c r="V17" s="126">
        <f>V16/U16*100</f>
        <v>90.697228598378487</v>
      </c>
      <c r="W17" s="126"/>
      <c r="X17" s="126">
        <f>X16/V16*100</f>
        <v>0.13181018483785209</v>
      </c>
      <c r="Y17" s="126"/>
      <c r="Z17" s="126">
        <f>Z16/X16*100</f>
        <v>104.89727523854665</v>
      </c>
      <c r="AA17" s="126"/>
      <c r="AB17" s="126">
        <f>AB16/Z16*100</f>
        <v>100</v>
      </c>
      <c r="AC17" s="126"/>
      <c r="AD17" s="126">
        <f>AD16/AB16*100</f>
        <v>100</v>
      </c>
      <c r="AE17" s="126"/>
      <c r="AF17" s="126">
        <f>AF16/AD16*100</f>
        <v>100</v>
      </c>
      <c r="AG17" s="127"/>
      <c r="AH17" s="127">
        <f>AH16/AF16*100</f>
        <v>100</v>
      </c>
      <c r="AI17" s="127"/>
      <c r="AJ17" s="127">
        <f>AJ16/AH16*100</f>
        <v>95.652173913043484</v>
      </c>
      <c r="AK17" s="128"/>
      <c r="AM17" s="129" t="s">
        <v>70</v>
      </c>
      <c r="AN17" s="230">
        <f>AD8</f>
        <v>232.4</v>
      </c>
      <c r="AO17" s="278">
        <v>232.4</v>
      </c>
      <c r="AP17" s="229">
        <f t="shared" si="2"/>
        <v>100</v>
      </c>
    </row>
    <row r="18" spans="1:42" ht="26.25">
      <c r="A18" s="129" t="s">
        <v>160</v>
      </c>
      <c r="B18" s="130">
        <v>8583082</v>
      </c>
      <c r="C18" s="131">
        <v>7346899.2599999998</v>
      </c>
      <c r="D18" s="126">
        <f>C18/C4*100</f>
        <v>43.993974947606908</v>
      </c>
      <c r="E18" s="131">
        <v>8220124.1100000003</v>
      </c>
      <c r="F18" s="126">
        <f>E18/E4*100</f>
        <v>39.976971268101366</v>
      </c>
      <c r="G18" s="196">
        <v>8575806.9000000004</v>
      </c>
      <c r="H18" s="195">
        <f>G18/G4*100</f>
        <v>43.319471209675442</v>
      </c>
      <c r="I18" s="196">
        <v>8782544.7100000009</v>
      </c>
      <c r="J18" s="195">
        <f>I18/I4*100</f>
        <v>40.426457642296931</v>
      </c>
      <c r="K18" s="196">
        <v>9615820.8599999994</v>
      </c>
      <c r="L18" s="195">
        <f>K18/K4*100</f>
        <v>35.327697171851334</v>
      </c>
      <c r="M18" s="132">
        <f>'Пр. 9'!C35</f>
        <v>11379803.68</v>
      </c>
      <c r="N18" s="127">
        <f>M18/M4*100</f>
        <v>36.313040547062293</v>
      </c>
      <c r="O18" s="132">
        <f>'Пр. 9'!D35</f>
        <v>6077360.5999999996</v>
      </c>
      <c r="P18" s="127">
        <f>O18/O4*100</f>
        <v>33.404939262353651</v>
      </c>
      <c r="Q18" s="132">
        <f>'Пр. 9'!E35</f>
        <v>4567300.5999999996</v>
      </c>
      <c r="R18" s="127">
        <f>Q18/Q4*100</f>
        <v>37.477132002396012</v>
      </c>
      <c r="T18" s="129" t="s">
        <v>160</v>
      </c>
      <c r="U18" s="130">
        <v>8583082</v>
      </c>
      <c r="V18" s="131">
        <v>7346899.2599999998</v>
      </c>
      <c r="W18" s="126">
        <f>V18/V4*100</f>
        <v>43.993974947606908</v>
      </c>
      <c r="X18" s="120">
        <f>E18/1000</f>
        <v>8220.1241100000007</v>
      </c>
      <c r="Y18" s="126">
        <f>X18/X4*100</f>
        <v>39.976971268101366</v>
      </c>
      <c r="Z18" s="120">
        <f>G18/1000</f>
        <v>8575.8068999999996</v>
      </c>
      <c r="AA18" s="126">
        <f>Z18/Z4*100</f>
        <v>43.319471209675442</v>
      </c>
      <c r="AB18" s="120">
        <f>I18/1000</f>
        <v>8782.5447100000001</v>
      </c>
      <c r="AC18" s="126">
        <f>AB18/AB4*100</f>
        <v>40.426457642296931</v>
      </c>
      <c r="AD18" s="120">
        <f>K18/1000</f>
        <v>9615.8208599999998</v>
      </c>
      <c r="AE18" s="126">
        <f>AD18/AD4*100</f>
        <v>35.327697171851334</v>
      </c>
      <c r="AF18" s="122">
        <f>M18/1000</f>
        <v>11379.803679999999</v>
      </c>
      <c r="AG18" s="127">
        <f>AF18/AF4*100</f>
        <v>36.313040547062293</v>
      </c>
      <c r="AH18" s="122">
        <f>O18/1000</f>
        <v>6077.3606</v>
      </c>
      <c r="AI18" s="127">
        <f>AH18/AH4*100</f>
        <v>33.404939262353651</v>
      </c>
      <c r="AJ18" s="122">
        <f>Q18/1000</f>
        <v>4567.3005999999996</v>
      </c>
      <c r="AK18" s="127">
        <f>AJ18/AJ4*100</f>
        <v>37.477132002396012</v>
      </c>
      <c r="AM18" s="129" t="s">
        <v>72</v>
      </c>
      <c r="AN18" s="230">
        <f>AD10</f>
        <v>950</v>
      </c>
      <c r="AO18" s="278">
        <v>950</v>
      </c>
      <c r="AP18" s="229">
        <f t="shared" si="2"/>
        <v>100</v>
      </c>
    </row>
    <row r="19" spans="1:42">
      <c r="A19" s="124" t="s">
        <v>158</v>
      </c>
      <c r="B19" s="130"/>
      <c r="C19" s="126">
        <f>C18/B18*100</f>
        <v>85.59744926123274</v>
      </c>
      <c r="D19" s="126"/>
      <c r="E19" s="126">
        <f>E18/C18*100</f>
        <v>111.88562438516409</v>
      </c>
      <c r="F19" s="126"/>
      <c r="G19" s="195">
        <f>G18/E18*100</f>
        <v>104.32697590985643</v>
      </c>
      <c r="H19" s="195"/>
      <c r="I19" s="195">
        <f>I18/G18*100</f>
        <v>102.41070971409117</v>
      </c>
      <c r="J19" s="195"/>
      <c r="K19" s="195">
        <f>K18/I18*100</f>
        <v>109.48786687133185</v>
      </c>
      <c r="L19" s="195"/>
      <c r="M19" s="195">
        <f>M18/K18*100</f>
        <v>118.34458904426803</v>
      </c>
      <c r="N19" s="127"/>
      <c r="O19" s="127">
        <f>O18/M18*100</f>
        <v>53.40479300781751</v>
      </c>
      <c r="P19" s="127"/>
      <c r="Q19" s="127">
        <f>Q18/O18*100</f>
        <v>75.152700335076389</v>
      </c>
      <c r="R19" s="128"/>
      <c r="T19" s="124" t="s">
        <v>158</v>
      </c>
      <c r="U19" s="130"/>
      <c r="V19" s="126">
        <f>V18/U18*100</f>
        <v>85.59744926123274</v>
      </c>
      <c r="W19" s="126"/>
      <c r="X19" s="126">
        <f>X18/V18*100</f>
        <v>0.1118856243851641</v>
      </c>
      <c r="Y19" s="126"/>
      <c r="Z19" s="126">
        <f>Z18/X18*100</f>
        <v>104.32697590985643</v>
      </c>
      <c r="AA19" s="126"/>
      <c r="AB19" s="126">
        <f>AB18/Z18*100</f>
        <v>102.41070971409117</v>
      </c>
      <c r="AC19" s="126"/>
      <c r="AD19" s="126">
        <f>AD18/AB18*100</f>
        <v>109.48786687133187</v>
      </c>
      <c r="AE19" s="126"/>
      <c r="AF19" s="126">
        <f>AF18/AD18*100</f>
        <v>118.34458904426803</v>
      </c>
      <c r="AG19" s="127"/>
      <c r="AH19" s="127">
        <f>AH18/AF18*100</f>
        <v>53.404793007817517</v>
      </c>
      <c r="AI19" s="127"/>
      <c r="AJ19" s="127">
        <f>AJ18/AH18*100</f>
        <v>75.152700335076375</v>
      </c>
      <c r="AK19" s="128"/>
      <c r="AM19" s="129" t="s">
        <v>74</v>
      </c>
      <c r="AN19" s="230">
        <f>AD12</f>
        <v>4308.5169999999998</v>
      </c>
      <c r="AO19" s="278">
        <v>4100</v>
      </c>
      <c r="AP19" s="229">
        <f t="shared" si="2"/>
        <v>95.160353318786946</v>
      </c>
    </row>
    <row r="20" spans="1:42" ht="26.25">
      <c r="A20" s="129" t="s">
        <v>147</v>
      </c>
      <c r="B20" s="130">
        <v>14000</v>
      </c>
      <c r="C20" s="131">
        <v>524845.97</v>
      </c>
      <c r="D20" s="126">
        <f>C20/C4*100</f>
        <v>3.1428306879401049</v>
      </c>
      <c r="E20" s="131">
        <v>0</v>
      </c>
      <c r="F20" s="126">
        <f>E20/E4*100</f>
        <v>0</v>
      </c>
      <c r="G20" s="196">
        <v>115357</v>
      </c>
      <c r="H20" s="195">
        <f>G20/G4*100</f>
        <v>0.58270951044088104</v>
      </c>
      <c r="I20" s="196">
        <v>8250</v>
      </c>
      <c r="J20" s="195">
        <f>I20/I4*100</f>
        <v>3.7975129824183912E-2</v>
      </c>
      <c r="K20" s="196">
        <v>11000</v>
      </c>
      <c r="L20" s="195">
        <f>K20/K4*100</f>
        <v>4.0413052047057862E-2</v>
      </c>
      <c r="M20" s="132">
        <f>'Пр. 9'!C37</f>
        <v>100000</v>
      </c>
      <c r="N20" s="127">
        <f>M20/M4*100</f>
        <v>0.319100764549062</v>
      </c>
      <c r="O20" s="132">
        <f>'Пр. 9'!D37</f>
        <v>100000</v>
      </c>
      <c r="P20" s="127">
        <f>O20/O4*100</f>
        <v>0.549661957895894</v>
      </c>
      <c r="Q20" s="132">
        <f>'Пр. 9'!E37</f>
        <v>0</v>
      </c>
      <c r="R20" s="127">
        <f>Q20/Q4*100</f>
        <v>0</v>
      </c>
      <c r="T20" s="129" t="s">
        <v>147</v>
      </c>
      <c r="U20" s="130">
        <v>14000</v>
      </c>
      <c r="V20" s="131">
        <v>524845.97</v>
      </c>
      <c r="W20" s="126">
        <f>V20/V4*100</f>
        <v>3.1428306879401049</v>
      </c>
      <c r="X20" s="120">
        <f>E20/1000</f>
        <v>0</v>
      </c>
      <c r="Y20" s="126">
        <f>X20/X4*100</f>
        <v>0</v>
      </c>
      <c r="Z20" s="120">
        <f>G20/1000</f>
        <v>115.357</v>
      </c>
      <c r="AA20" s="126">
        <f>Z20/Z4*100</f>
        <v>0.58270951044088104</v>
      </c>
      <c r="AB20" s="120">
        <f>I20/1000</f>
        <v>8.25</v>
      </c>
      <c r="AC20" s="126">
        <f>AB20/AB4*100</f>
        <v>3.7975129824183919E-2</v>
      </c>
      <c r="AD20" s="120">
        <f>K20/1000</f>
        <v>11</v>
      </c>
      <c r="AE20" s="126">
        <f>AD20/AD4*100</f>
        <v>4.0413052047057862E-2</v>
      </c>
      <c r="AF20" s="122">
        <f>M20/1000</f>
        <v>100</v>
      </c>
      <c r="AG20" s="127">
        <f>AF20/AF4*100</f>
        <v>0.319100764549062</v>
      </c>
      <c r="AH20" s="122">
        <f>O20/1000</f>
        <v>100</v>
      </c>
      <c r="AI20" s="127">
        <f>AH20/AH4*100</f>
        <v>0.549661957895894</v>
      </c>
      <c r="AJ20" s="122">
        <f>Q20/1000</f>
        <v>0</v>
      </c>
      <c r="AK20" s="127">
        <f>AJ20/AJ4*100</f>
        <v>0</v>
      </c>
      <c r="AM20" s="129" t="s">
        <v>75</v>
      </c>
      <c r="AN20" s="230">
        <f>AD14</f>
        <v>5361.2</v>
      </c>
      <c r="AO20" s="278">
        <v>5342</v>
      </c>
      <c r="AP20" s="229">
        <f t="shared" si="2"/>
        <v>99.641871222860559</v>
      </c>
    </row>
    <row r="21" spans="1:42">
      <c r="A21" s="124" t="s">
        <v>158</v>
      </c>
      <c r="B21" s="125"/>
      <c r="C21" s="126">
        <f>C20/B20*100</f>
        <v>3748.8997857142854</v>
      </c>
      <c r="D21" s="126"/>
      <c r="E21" s="126">
        <f>E20/C20*100</f>
        <v>0</v>
      </c>
      <c r="F21" s="126"/>
      <c r="G21" s="195"/>
      <c r="H21" s="193"/>
      <c r="I21" s="195"/>
      <c r="J21" s="193"/>
      <c r="K21" s="195"/>
      <c r="L21" s="195"/>
      <c r="M21" s="195">
        <f>M20/K20*100</f>
        <v>909.09090909090912</v>
      </c>
      <c r="N21" s="127"/>
      <c r="O21" s="127">
        <f>O20/M20*100</f>
        <v>100</v>
      </c>
      <c r="P21" s="127"/>
      <c r="Q21" s="127">
        <f>Q20/O20*100</f>
        <v>0</v>
      </c>
      <c r="R21" s="128"/>
      <c r="T21" s="124" t="s">
        <v>158</v>
      </c>
      <c r="U21" s="125"/>
      <c r="V21" s="126">
        <f>V20/U20*100</f>
        <v>3748.8997857142854</v>
      </c>
      <c r="W21" s="126"/>
      <c r="X21" s="126">
        <f>X20/V20*100</f>
        <v>0</v>
      </c>
      <c r="Y21" s="126"/>
      <c r="Z21" s="126"/>
      <c r="AA21" s="126"/>
      <c r="AB21" s="126"/>
      <c r="AC21" s="126"/>
      <c r="AD21" s="126"/>
      <c r="AE21" s="126"/>
      <c r="AF21" s="126">
        <f>AF20/AD20*100</f>
        <v>909.09090909090912</v>
      </c>
      <c r="AG21" s="127"/>
      <c r="AH21" s="127">
        <f>AH20/AF20*100</f>
        <v>100</v>
      </c>
      <c r="AI21" s="127"/>
      <c r="AJ21" s="127">
        <f>AJ20/AH20*100</f>
        <v>0</v>
      </c>
      <c r="AK21" s="128"/>
      <c r="AM21" s="129" t="s">
        <v>146</v>
      </c>
      <c r="AN21" s="230">
        <f>AD16</f>
        <v>230</v>
      </c>
      <c r="AO21" s="278">
        <v>230</v>
      </c>
      <c r="AP21" s="229">
        <f t="shared" si="2"/>
        <v>100</v>
      </c>
    </row>
    <row r="22" spans="1:42" ht="26.25">
      <c r="G22" s="210"/>
      <c r="M22" s="212"/>
      <c r="N22" s="213"/>
      <c r="O22" s="212"/>
      <c r="P22" s="213"/>
      <c r="Q22" s="212"/>
      <c r="R22" s="213"/>
      <c r="AM22" s="235" t="s">
        <v>329</v>
      </c>
      <c r="AN22" s="230">
        <f>AD18</f>
        <v>9615.8208599999998</v>
      </c>
      <c r="AO22" s="278">
        <v>9500</v>
      </c>
      <c r="AP22" s="229">
        <f t="shared" si="2"/>
        <v>98.79551770268732</v>
      </c>
    </row>
    <row r="23" spans="1:42">
      <c r="M23" s="212"/>
      <c r="N23" s="213"/>
      <c r="O23" s="212"/>
      <c r="P23" s="213"/>
      <c r="Q23" s="212"/>
      <c r="R23" s="213"/>
      <c r="AM23" s="129" t="s">
        <v>147</v>
      </c>
      <c r="AN23" s="230">
        <f>AD20</f>
        <v>11</v>
      </c>
      <c r="AO23" s="278">
        <v>11</v>
      </c>
      <c r="AP23" s="229">
        <f>AO23/AN23*100</f>
        <v>100</v>
      </c>
    </row>
    <row r="24" spans="1:42">
      <c r="M24" s="212"/>
      <c r="N24" s="213"/>
      <c r="O24" s="212"/>
      <c r="P24" s="213"/>
      <c r="Q24" s="212"/>
      <c r="R24" s="213"/>
      <c r="AM24" s="236" t="s">
        <v>330</v>
      </c>
      <c r="AN24" s="228">
        <f>AN16+AN17+AN18+AN19+AN20+AN21+AN22+AN23</f>
        <v>27218.92914</v>
      </c>
      <c r="AO24" s="277">
        <f>AO16+AO17+AO18+AO19+AO20+AO21+AO22+AO23</f>
        <v>26365.4</v>
      </c>
      <c r="AP24" s="229">
        <f>AO24/AN24*100</f>
        <v>96.864207494681779</v>
      </c>
    </row>
    <row r="25" spans="1:42" ht="15.75" customHeight="1">
      <c r="A25" s="605" t="s">
        <v>171</v>
      </c>
      <c r="B25" s="608">
        <v>2016</v>
      </c>
      <c r="C25" s="608" t="s">
        <v>154</v>
      </c>
      <c r="D25" s="608"/>
      <c r="E25" s="600" t="s">
        <v>126</v>
      </c>
      <c r="F25" s="601"/>
      <c r="G25" s="600" t="s">
        <v>127</v>
      </c>
      <c r="H25" s="601"/>
      <c r="I25" s="600" t="s">
        <v>152</v>
      </c>
      <c r="J25" s="601"/>
      <c r="K25" s="600" t="s">
        <v>262</v>
      </c>
      <c r="L25" s="601"/>
      <c r="M25" s="609" t="s">
        <v>153</v>
      </c>
      <c r="N25" s="609"/>
      <c r="O25" s="609"/>
      <c r="P25" s="609"/>
      <c r="Q25" s="609"/>
      <c r="R25" s="609"/>
      <c r="AM25" s="237" t="s">
        <v>331</v>
      </c>
      <c r="AN25" s="228">
        <f>AN13-AN24</f>
        <v>-1593.6091400000005</v>
      </c>
      <c r="AO25" s="277">
        <f>AO13-AO24</f>
        <v>-774.40000000000146</v>
      </c>
      <c r="AP25" s="238"/>
    </row>
    <row r="26" spans="1:42">
      <c r="A26" s="606"/>
      <c r="B26" s="608"/>
      <c r="C26" s="608"/>
      <c r="D26" s="608"/>
      <c r="E26" s="602"/>
      <c r="F26" s="603"/>
      <c r="G26" s="602"/>
      <c r="H26" s="603"/>
      <c r="I26" s="602"/>
      <c r="J26" s="603"/>
      <c r="K26" s="602"/>
      <c r="L26" s="603"/>
      <c r="M26" s="604" t="s">
        <v>382</v>
      </c>
      <c r="N26" s="604"/>
      <c r="O26" s="604" t="s">
        <v>471</v>
      </c>
      <c r="P26" s="604"/>
      <c r="Q26" s="604" t="s">
        <v>600</v>
      </c>
      <c r="R26" s="604"/>
      <c r="AM26" s="119" t="s">
        <v>332</v>
      </c>
      <c r="AN26" s="228">
        <f>-AN25</f>
        <v>1593.6091400000005</v>
      </c>
      <c r="AO26" s="277">
        <f>-AO25</f>
        <v>774.40000000000146</v>
      </c>
      <c r="AP26" s="238"/>
    </row>
    <row r="27" spans="1:42" ht="64.5">
      <c r="A27" s="607"/>
      <c r="B27" s="201" t="s">
        <v>155</v>
      </c>
      <c r="C27" s="201" t="s">
        <v>155</v>
      </c>
      <c r="D27" s="136" t="s">
        <v>164</v>
      </c>
      <c r="E27" s="201" t="s">
        <v>155</v>
      </c>
      <c r="F27" s="136" t="s">
        <v>164</v>
      </c>
      <c r="G27" s="201" t="s">
        <v>155</v>
      </c>
      <c r="H27" s="136" t="s">
        <v>164</v>
      </c>
      <c r="I27" s="274" t="s">
        <v>155</v>
      </c>
      <c r="J27" s="136" t="s">
        <v>164</v>
      </c>
      <c r="K27" s="415" t="s">
        <v>155</v>
      </c>
      <c r="L27" s="136" t="s">
        <v>164</v>
      </c>
      <c r="M27" s="202" t="s">
        <v>155</v>
      </c>
      <c r="N27" s="136" t="s">
        <v>164</v>
      </c>
      <c r="O27" s="202" t="s">
        <v>155</v>
      </c>
      <c r="P27" s="136" t="s">
        <v>164</v>
      </c>
      <c r="Q27" s="202" t="s">
        <v>155</v>
      </c>
      <c r="R27" s="136" t="s">
        <v>164</v>
      </c>
      <c r="T27" s="215" t="s">
        <v>602</v>
      </c>
    </row>
    <row r="28" spans="1:42">
      <c r="A28" s="137" t="s">
        <v>165</v>
      </c>
      <c r="B28" s="138">
        <f>B30+B38</f>
        <v>36093242.660000004</v>
      </c>
      <c r="C28" s="138">
        <f>C30+C38</f>
        <v>14799854</v>
      </c>
      <c r="D28" s="139">
        <f>D32+D34+D36+D38</f>
        <v>100</v>
      </c>
      <c r="E28" s="138">
        <f>E30+E38</f>
        <v>20029035.800000001</v>
      </c>
      <c r="F28" s="139">
        <f>F32+F34+F36+F38</f>
        <v>99.999251087264014</v>
      </c>
      <c r="G28" s="138">
        <f>G30+G38</f>
        <v>19591194.869999997</v>
      </c>
      <c r="H28" s="139">
        <f>H32+H34+H36+H38</f>
        <v>100.00000000000001</v>
      </c>
      <c r="I28" s="138">
        <f>I30+I38+150</f>
        <v>21697365.050000001</v>
      </c>
      <c r="J28" s="139">
        <f>J32+J34+J36+J38</f>
        <v>99.999308671814958</v>
      </c>
      <c r="K28" s="138">
        <f>K30+K38+150</f>
        <v>25626469.960000001</v>
      </c>
      <c r="L28" s="139">
        <f>L32+L34+L36+L38</f>
        <v>99.999414667723499</v>
      </c>
      <c r="M28" s="140">
        <f>M30+M38+'Пр. 2'!C23</f>
        <v>28983760.609999999</v>
      </c>
      <c r="N28" s="139">
        <f>N32+N34+N36+N38</f>
        <v>99.992064521816374</v>
      </c>
      <c r="O28" s="140">
        <f>O30+O38+'Пр. 2'!E23</f>
        <v>18235000</v>
      </c>
      <c r="P28" s="139">
        <f>P32+P34+P36+P38</f>
        <v>100</v>
      </c>
      <c r="Q28" s="140">
        <f>Q30+Q38+'Пр. 2'!G23</f>
        <v>12186900</v>
      </c>
      <c r="R28" s="139">
        <f>R32+R34+R36+R38</f>
        <v>100</v>
      </c>
      <c r="AM28" s="334" t="s">
        <v>611</v>
      </c>
      <c r="AN28" s="335"/>
    </row>
    <row r="29" spans="1:42">
      <c r="A29" s="141" t="s">
        <v>158</v>
      </c>
      <c r="B29" s="142"/>
      <c r="C29" s="143">
        <f>C28/B28*100</f>
        <v>41.004500868529057</v>
      </c>
      <c r="D29" s="143"/>
      <c r="E29" s="143">
        <f>E28/C28*100</f>
        <v>135.33265801135605</v>
      </c>
      <c r="F29" s="143"/>
      <c r="G29" s="143">
        <f>G28/E28*100</f>
        <v>97.813969007933949</v>
      </c>
      <c r="H29" s="143"/>
      <c r="I29" s="143">
        <f>I28/G28*100</f>
        <v>110.75059583642437</v>
      </c>
      <c r="J29" s="143"/>
      <c r="K29" s="143">
        <f>K28/I28*100</f>
        <v>118.10867310821227</v>
      </c>
      <c r="L29" s="143"/>
      <c r="M29" s="143">
        <f>M28/K28*100</f>
        <v>113.1008705266092</v>
      </c>
      <c r="N29" s="144"/>
      <c r="O29" s="144">
        <f>O28/M28*100</f>
        <v>62.914541164504875</v>
      </c>
      <c r="P29" s="144"/>
      <c r="Q29" s="144">
        <f>Q28/O28*100</f>
        <v>66.832465039758702</v>
      </c>
      <c r="R29" s="145"/>
      <c r="U29" s="216"/>
      <c r="AM29" s="336"/>
      <c r="AN29" s="335"/>
    </row>
    <row r="30" spans="1:42" ht="26.25">
      <c r="A30" s="137" t="s">
        <v>166</v>
      </c>
      <c r="B30" s="146">
        <f>B32+B34+B36</f>
        <v>15598796.610000001</v>
      </c>
      <c r="C30" s="146">
        <f>C32+C34+C36</f>
        <v>6537700</v>
      </c>
      <c r="D30" s="143">
        <f>C30/C28*100</f>
        <v>44.174084420021984</v>
      </c>
      <c r="E30" s="146">
        <f>E32+E34+E36+150</f>
        <v>6738150</v>
      </c>
      <c r="F30" s="143">
        <f>E30/E28*100</f>
        <v>33.641909012914141</v>
      </c>
      <c r="G30" s="146">
        <f>G32+G34+G36</f>
        <v>6814150</v>
      </c>
      <c r="H30" s="143">
        <f>G30/G28*100</f>
        <v>34.781696804182729</v>
      </c>
      <c r="I30" s="146">
        <f>I32+I34+I36</f>
        <v>7463000</v>
      </c>
      <c r="J30" s="143">
        <f>I30/I28*100</f>
        <v>34.395881632640915</v>
      </c>
      <c r="K30" s="146">
        <f>K32+K34+K36</f>
        <v>7410274.4199999999</v>
      </c>
      <c r="L30" s="143">
        <f>K30/K28*100</f>
        <v>28.916485304322421</v>
      </c>
      <c r="M30" s="147">
        <f>M32+M34+M36</f>
        <v>8446632.1899999995</v>
      </c>
      <c r="N30" s="144">
        <f>M30/M28*100</f>
        <v>29.142637160361229</v>
      </c>
      <c r="O30" s="147">
        <f>O32+O34+O36</f>
        <v>7753582.4000000004</v>
      </c>
      <c r="P30" s="144">
        <f>O30/O28*100</f>
        <v>42.520331231148887</v>
      </c>
      <c r="Q30" s="147">
        <f>Q32+Q34+Q36</f>
        <v>7900182.4000000004</v>
      </c>
      <c r="R30" s="144">
        <f>Q30/Q28*100</f>
        <v>64.825200830399851</v>
      </c>
      <c r="U30" s="216"/>
      <c r="AM30" s="337"/>
      <c r="AN30" s="338"/>
    </row>
    <row r="31" spans="1:42">
      <c r="A31" s="141" t="s">
        <v>158</v>
      </c>
      <c r="B31" s="146"/>
      <c r="C31" s="143">
        <f>C30/B30*100</f>
        <v>41.911566407685854</v>
      </c>
      <c r="D31" s="143"/>
      <c r="E31" s="143">
        <f>E30/C30*100</f>
        <v>103.06606298851277</v>
      </c>
      <c r="F31" s="143"/>
      <c r="G31" s="143">
        <f>G30/E30*100</f>
        <v>101.12790602761885</v>
      </c>
      <c r="H31" s="143"/>
      <c r="I31" s="143">
        <f>I30/G30*100</f>
        <v>109.52209740026268</v>
      </c>
      <c r="J31" s="143"/>
      <c r="K31" s="143">
        <f>K30/I30*100</f>
        <v>99.29350690071017</v>
      </c>
      <c r="L31" s="143"/>
      <c r="M31" s="143">
        <f>M30/K30*100</f>
        <v>113.98541688554631</v>
      </c>
      <c r="N31" s="144"/>
      <c r="O31" s="144">
        <v>100.5</v>
      </c>
      <c r="P31" s="144"/>
      <c r="Q31" s="144">
        <f>Q30/O30*100</f>
        <v>101.89073891830955</v>
      </c>
      <c r="R31" s="145"/>
      <c r="U31" s="216"/>
      <c r="AM31" s="336"/>
      <c r="AN31" s="335"/>
    </row>
    <row r="32" spans="1:42">
      <c r="A32" s="134" t="s">
        <v>5</v>
      </c>
      <c r="B32" s="146">
        <v>9042155.9600000009</v>
      </c>
      <c r="C32" s="146">
        <v>1150300</v>
      </c>
      <c r="D32" s="143">
        <f>C32/C28*100</f>
        <v>7.7723739707161981</v>
      </c>
      <c r="E32" s="146">
        <v>1330500</v>
      </c>
      <c r="F32" s="143">
        <f>E32/E28*100</f>
        <v>6.6428559681340218</v>
      </c>
      <c r="G32" s="146">
        <v>1451000</v>
      </c>
      <c r="H32" s="143">
        <f>G32/G28*100</f>
        <v>7.4063884802754778</v>
      </c>
      <c r="I32" s="146">
        <v>2217500</v>
      </c>
      <c r="J32" s="143">
        <f>I32/I28*100</f>
        <v>10.220135002060998</v>
      </c>
      <c r="K32" s="146">
        <v>2021000</v>
      </c>
      <c r="L32" s="143">
        <f>K32/K28*100</f>
        <v>7.8863768718615974</v>
      </c>
      <c r="M32" s="147">
        <f>'Пр. 2'!C14</f>
        <v>2055000</v>
      </c>
      <c r="N32" s="144">
        <f>M32/M28*100</f>
        <v>7.0901772466716491</v>
      </c>
      <c r="O32" s="147">
        <f>'Пр. 2'!D14</f>
        <v>1741500</v>
      </c>
      <c r="P32" s="144">
        <f>O32/O28*100</f>
        <v>9.550315327666576</v>
      </c>
      <c r="Q32" s="147">
        <f>'Пр. 2'!E14</f>
        <v>1781500</v>
      </c>
      <c r="R32" s="144">
        <f>Q32/Q28*100</f>
        <v>14.618155560478874</v>
      </c>
      <c r="AM32" s="336"/>
      <c r="AN32" s="335"/>
    </row>
    <row r="33" spans="1:40">
      <c r="A33" s="141" t="s">
        <v>158</v>
      </c>
      <c r="B33" s="146"/>
      <c r="C33" s="143">
        <f>C32/B32*100</f>
        <v>12.721523551336752</v>
      </c>
      <c r="D33" s="143"/>
      <c r="E33" s="143">
        <f>E32/C32*100</f>
        <v>115.66547857080762</v>
      </c>
      <c r="F33" s="143"/>
      <c r="G33" s="143">
        <f>G32/E32*100</f>
        <v>109.05674558436678</v>
      </c>
      <c r="H33" s="143"/>
      <c r="I33" s="143">
        <f>I32/G32*100</f>
        <v>152.82563749138524</v>
      </c>
      <c r="J33" s="143"/>
      <c r="K33" s="143">
        <f>K32/I32*100</f>
        <v>91.138669673055233</v>
      </c>
      <c r="L33" s="143"/>
      <c r="M33" s="143">
        <f>M32/K32*100</f>
        <v>101.68233547748639</v>
      </c>
      <c r="N33" s="144"/>
      <c r="O33" s="144">
        <f>O32/M32*100</f>
        <v>84.744525547445264</v>
      </c>
      <c r="P33" s="144"/>
      <c r="Q33" s="144">
        <f>Q32/O32*100</f>
        <v>102.29687051392477</v>
      </c>
      <c r="R33" s="145"/>
      <c r="AM33" s="336"/>
      <c r="AN33" s="335"/>
    </row>
    <row r="34" spans="1:40">
      <c r="A34" s="134" t="s">
        <v>167</v>
      </c>
      <c r="B34" s="146">
        <v>4905100</v>
      </c>
      <c r="C34" s="146">
        <v>4720000</v>
      </c>
      <c r="D34" s="143">
        <f>C34/C28*100</f>
        <v>31.892206504199301</v>
      </c>
      <c r="E34" s="146">
        <v>5280000</v>
      </c>
      <c r="F34" s="143">
        <f>E34/E28*100</f>
        <v>26.361728306461963</v>
      </c>
      <c r="G34" s="146">
        <v>5190000</v>
      </c>
      <c r="H34" s="143">
        <f>G34/G28*100</f>
        <v>26.491492910151432</v>
      </c>
      <c r="I34" s="146">
        <v>5180000</v>
      </c>
      <c r="J34" s="143">
        <f>I34/I28*100</f>
        <v>23.873866656449142</v>
      </c>
      <c r="K34" s="146">
        <v>5130000</v>
      </c>
      <c r="L34" s="143">
        <f>K34/K28*100</f>
        <v>20.018363855838693</v>
      </c>
      <c r="M34" s="147">
        <f>'Пр. 2'!C26</f>
        <v>5860000</v>
      </c>
      <c r="N34" s="144">
        <f>M34/M28*100</f>
        <v>20.218218328708453</v>
      </c>
      <c r="O34" s="147">
        <f>'Пр. 2'!D26</f>
        <v>5755000</v>
      </c>
      <c r="P34" s="144">
        <f>O34/O28*100</f>
        <v>31.560186454620236</v>
      </c>
      <c r="Q34" s="147">
        <f>'Пр. 2'!E26</f>
        <v>5860000</v>
      </c>
      <c r="R34" s="144">
        <f>Q34/Q28*100</f>
        <v>48.084418514962792</v>
      </c>
      <c r="AM34" s="336"/>
      <c r="AN34" s="338"/>
    </row>
    <row r="35" spans="1:40">
      <c r="A35" s="141" t="s">
        <v>158</v>
      </c>
      <c r="B35" s="146"/>
      <c r="C35" s="143">
        <f>C34/B34*100</f>
        <v>96.226376628407166</v>
      </c>
      <c r="D35" s="143"/>
      <c r="E35" s="143">
        <f>E34/C34*100</f>
        <v>111.86440677966101</v>
      </c>
      <c r="F35" s="143"/>
      <c r="G35" s="143">
        <f>G34/E34*100</f>
        <v>98.295454545454547</v>
      </c>
      <c r="H35" s="143"/>
      <c r="I35" s="143">
        <f>I34/G34*100</f>
        <v>99.807321772639696</v>
      </c>
      <c r="J35" s="143"/>
      <c r="K35" s="143">
        <f>K34/I34*100</f>
        <v>99.034749034749041</v>
      </c>
      <c r="L35" s="143"/>
      <c r="M35" s="143">
        <f>M34/K34*100</f>
        <v>114.23001949317739</v>
      </c>
      <c r="N35" s="144"/>
      <c r="O35" s="144">
        <f>O34/M34*100</f>
        <v>98.208191126279871</v>
      </c>
      <c r="P35" s="144"/>
      <c r="Q35" s="144">
        <f>Q34/O34*100</f>
        <v>101.82450043440487</v>
      </c>
      <c r="R35" s="145"/>
      <c r="U35" s="216"/>
      <c r="AM35" s="336"/>
      <c r="AN35" s="335"/>
    </row>
    <row r="36" spans="1:40">
      <c r="A36" s="134" t="s">
        <v>168</v>
      </c>
      <c r="B36" s="146">
        <v>1651540.65</v>
      </c>
      <c r="C36" s="146">
        <v>667400</v>
      </c>
      <c r="D36" s="143">
        <f>C36/C28*100</f>
        <v>4.509503945106486</v>
      </c>
      <c r="E36" s="146">
        <v>127500</v>
      </c>
      <c r="F36" s="143">
        <f>E36/E28*100</f>
        <v>0.63657582558217807</v>
      </c>
      <c r="G36" s="146">
        <v>173150</v>
      </c>
      <c r="H36" s="143">
        <f>G36/G28*100</f>
        <v>0.88381541375582273</v>
      </c>
      <c r="I36" s="146">
        <v>65500</v>
      </c>
      <c r="J36" s="143">
        <f>I36/I28*100</f>
        <v>0.30187997413077583</v>
      </c>
      <c r="K36" s="146">
        <v>259274.42</v>
      </c>
      <c r="L36" s="143">
        <f>K36/K28*100</f>
        <v>1.0117445766221327</v>
      </c>
      <c r="M36" s="147">
        <f>'Пр. 2'!C37+'Пр. 2'!C45+'Пр. 2'!C50+'Пр. 2'!C62</f>
        <v>531632.18999999994</v>
      </c>
      <c r="N36" s="144">
        <f>M36/M28*100</f>
        <v>1.8342415849811284</v>
      </c>
      <c r="O36" s="147">
        <f>'Пр. 2'!D37+'Пр. 2'!D45+'Пр. 2'!D50+'Пр. 2'!D62</f>
        <v>257082.4</v>
      </c>
      <c r="P36" s="144">
        <f>O36/O28*100</f>
        <v>1.4098294488620784</v>
      </c>
      <c r="Q36" s="147">
        <f>'Пр. 2'!E37+'Пр. 2'!E45+'Пр. 2'!E50+'Пр. 2'!E62</f>
        <v>258682.4</v>
      </c>
      <c r="R36" s="144">
        <f>Q36/Q28*100</f>
        <v>2.1226267549581928</v>
      </c>
    </row>
    <row r="37" spans="1:40">
      <c r="A37" s="141" t="s">
        <v>158</v>
      </c>
      <c r="B37" s="146"/>
      <c r="C37" s="143">
        <f>C36/B36*100</f>
        <v>40.41075222701906</v>
      </c>
      <c r="D37" s="143"/>
      <c r="E37" s="143">
        <f>E36/C36*100</f>
        <v>19.103985615822594</v>
      </c>
      <c r="F37" s="143"/>
      <c r="G37" s="143">
        <f>G36/E36*100</f>
        <v>135.80392156862746</v>
      </c>
      <c r="H37" s="143"/>
      <c r="I37" s="143">
        <f>I36/G36*100</f>
        <v>37.828472422754835</v>
      </c>
      <c r="J37" s="143"/>
      <c r="K37" s="143">
        <f>K36/I36*100</f>
        <v>395.8388091603054</v>
      </c>
      <c r="L37" s="143"/>
      <c r="M37" s="143">
        <f>M36/K36*100</f>
        <v>205.0461399161552</v>
      </c>
      <c r="N37" s="144"/>
      <c r="O37" s="144">
        <f>O36/M36*100</f>
        <v>48.357192215919056</v>
      </c>
      <c r="P37" s="144"/>
      <c r="Q37" s="144">
        <f>Q36/O36*100</f>
        <v>100.62236854798306</v>
      </c>
      <c r="R37" s="145"/>
    </row>
    <row r="38" spans="1:40">
      <c r="A38" s="137" t="s">
        <v>169</v>
      </c>
      <c r="B38" s="146">
        <v>20494446.050000001</v>
      </c>
      <c r="C38" s="146">
        <v>8262154</v>
      </c>
      <c r="D38" s="143">
        <f>C38/C28*100</f>
        <v>55.825915579978016</v>
      </c>
      <c r="E38" s="146">
        <v>13290885.800000001</v>
      </c>
      <c r="F38" s="143">
        <f>E38/E28*100</f>
        <v>66.358090987085859</v>
      </c>
      <c r="G38" s="146">
        <v>12777044.869999999</v>
      </c>
      <c r="H38" s="143">
        <f>G38/G28*100</f>
        <v>65.218303195817285</v>
      </c>
      <c r="I38" s="146">
        <v>14234215.050000001</v>
      </c>
      <c r="J38" s="143">
        <f>I38/I28*100</f>
        <v>65.603427039174051</v>
      </c>
      <c r="K38" s="146">
        <v>18216045.539999999</v>
      </c>
      <c r="L38" s="143">
        <f>K38/K28*100</f>
        <v>71.082929363401078</v>
      </c>
      <c r="M38" s="147">
        <f>'Пр. 2'!C73</f>
        <v>20534828.419999998</v>
      </c>
      <c r="N38" s="144">
        <f>M38/M28*100</f>
        <v>70.849427361455142</v>
      </c>
      <c r="O38" s="147">
        <f>'Пр. 2'!D73</f>
        <v>10481417.6</v>
      </c>
      <c r="P38" s="144">
        <f>O38/O28*100</f>
        <v>57.479668768851113</v>
      </c>
      <c r="Q38" s="147">
        <f>'Пр. 2'!E73</f>
        <v>4286717.5999999996</v>
      </c>
      <c r="R38" s="144">
        <f>Q38/Q28*100</f>
        <v>35.174799169600142</v>
      </c>
    </row>
    <row r="39" spans="1:40">
      <c r="A39" s="141" t="s">
        <v>158</v>
      </c>
      <c r="B39" s="146"/>
      <c r="C39" s="143">
        <f>C38/B38*100</f>
        <v>40.314112320201012</v>
      </c>
      <c r="D39" s="143"/>
      <c r="E39" s="143">
        <f>E38/C38*100</f>
        <v>160.86465829612956</v>
      </c>
      <c r="F39" s="143"/>
      <c r="G39" s="143">
        <f>G38/E38*100</f>
        <v>96.13388499658916</v>
      </c>
      <c r="H39" s="143"/>
      <c r="I39" s="143"/>
      <c r="J39" s="143"/>
      <c r="K39" s="143"/>
      <c r="L39" s="143"/>
      <c r="M39" s="143">
        <f>M38/K38*100</f>
        <v>112.72934279236546</v>
      </c>
      <c r="N39" s="144"/>
      <c r="O39" s="144">
        <f>O38/M38*100</f>
        <v>51.042148420347019</v>
      </c>
      <c r="P39" s="144"/>
      <c r="Q39" s="144">
        <f>Q38/O38*100</f>
        <v>40.898261700783678</v>
      </c>
      <c r="R39" s="145"/>
    </row>
    <row r="40" spans="1:40">
      <c r="M40" s="417"/>
    </row>
    <row r="43" spans="1:40" ht="51" customHeight="1">
      <c r="A43" s="244" t="s">
        <v>448</v>
      </c>
      <c r="B43" s="591" t="s">
        <v>449</v>
      </c>
      <c r="C43" s="591"/>
      <c r="D43" s="591"/>
      <c r="E43" s="591"/>
      <c r="F43" s="591"/>
    </row>
    <row r="44" spans="1:40">
      <c r="B44" s="208" t="s">
        <v>382</v>
      </c>
      <c r="C44" s="209" t="s">
        <v>471</v>
      </c>
      <c r="D44" s="209" t="s">
        <v>584</v>
      </c>
      <c r="E44" s="208" t="s">
        <v>382</v>
      </c>
      <c r="F44" s="209" t="s">
        <v>471</v>
      </c>
      <c r="G44" s="209" t="s">
        <v>584</v>
      </c>
    </row>
    <row r="45" spans="1:40">
      <c r="B45" s="590" t="s">
        <v>440</v>
      </c>
      <c r="C45" s="590"/>
      <c r="D45" s="590"/>
      <c r="E45" s="590" t="s">
        <v>607</v>
      </c>
      <c r="F45" s="590"/>
      <c r="G45" s="590"/>
    </row>
    <row r="46" spans="1:40" ht="38.25">
      <c r="A46" s="134" t="s">
        <v>325</v>
      </c>
      <c r="B46" s="242">
        <f>M28/1000-B47-B48</f>
        <v>7917.3000000000029</v>
      </c>
      <c r="C46" s="243">
        <f>O28/1000-C47-C48</f>
        <v>7496.5000000000018</v>
      </c>
      <c r="D46" s="243">
        <f>Q28/1000-D47-D48</f>
        <v>7641.5</v>
      </c>
      <c r="E46" s="411">
        <f>B46/M$28*1000*100</f>
        <v>27.316331053563736</v>
      </c>
      <c r="F46" s="411">
        <f>C46/O$28*1000*100</f>
        <v>41.110501782286825</v>
      </c>
      <c r="G46" s="411">
        <f>D46/Q$28*1000*100</f>
        <v>62.70257407544166</v>
      </c>
      <c r="I46" s="418"/>
      <c r="J46" s="418"/>
      <c r="K46" s="419"/>
      <c r="M46" s="210"/>
      <c r="N46" s="210"/>
      <c r="U46" s="218" t="s">
        <v>321</v>
      </c>
      <c r="V46" s="218" t="s">
        <v>322</v>
      </c>
      <c r="W46" s="219" t="s">
        <v>323</v>
      </c>
      <c r="X46" s="220"/>
    </row>
    <row r="47" spans="1:40">
      <c r="A47" s="134" t="s">
        <v>168</v>
      </c>
      <c r="B47" s="242">
        <f>M36/1000</f>
        <v>531.63218999999992</v>
      </c>
      <c r="C47" s="243">
        <f>O36/1000</f>
        <v>257.08240000000001</v>
      </c>
      <c r="D47" s="243">
        <f>Q36/1000</f>
        <v>258.68239999999997</v>
      </c>
      <c r="E47" s="411">
        <f>B47/M$28*1000*100</f>
        <v>1.8342415849811284</v>
      </c>
      <c r="F47" s="411">
        <f>C47/O$28*1000*100</f>
        <v>1.4098294488620786</v>
      </c>
      <c r="G47" s="411">
        <f>D47/Q$28*1000*100</f>
        <v>2.1226267549581923</v>
      </c>
      <c r="I47" s="418"/>
      <c r="J47" s="418"/>
      <c r="K47" s="419"/>
      <c r="M47" s="210"/>
      <c r="N47" s="210"/>
      <c r="U47" s="221" t="s">
        <v>324</v>
      </c>
      <c r="V47" s="221"/>
      <c r="W47" s="222"/>
      <c r="X47" s="223"/>
    </row>
    <row r="48" spans="1:40" ht="26.25">
      <c r="A48" s="134" t="s">
        <v>169</v>
      </c>
      <c r="B48" s="242">
        <f>M38/1000</f>
        <v>20534.828419999998</v>
      </c>
      <c r="C48" s="243">
        <f>O38/1000</f>
        <v>10481.417599999999</v>
      </c>
      <c r="D48" s="243">
        <f>Q38/1000</f>
        <v>4286.7175999999999</v>
      </c>
      <c r="E48" s="411">
        <f>B48/M$28*1000*100</f>
        <v>70.849427361455142</v>
      </c>
      <c r="F48" s="411">
        <f>C48/O$28*1000*100</f>
        <v>57.479668768851113</v>
      </c>
      <c r="G48" s="411">
        <f>D48/Q$28*1000*100</f>
        <v>35.174799169600142</v>
      </c>
      <c r="I48" s="418"/>
      <c r="J48" s="418"/>
      <c r="K48" s="419"/>
      <c r="M48" s="210"/>
      <c r="N48" s="210"/>
      <c r="U48" s="221" t="s">
        <v>325</v>
      </c>
      <c r="V48" s="224">
        <v>5915.07</v>
      </c>
      <c r="W48" s="225" t="e">
        <f>#REF!+#REF!+#REF!</f>
        <v>#REF!</v>
      </c>
      <c r="X48" s="226"/>
    </row>
    <row r="49" spans="5:7">
      <c r="E49" s="209">
        <f>E46+E47+E48</f>
        <v>100</v>
      </c>
      <c r="F49" s="209">
        <f>F46+F47+F48</f>
        <v>100.00000000000001</v>
      </c>
      <c r="G49" s="209">
        <f>G46+G47+G48</f>
        <v>100</v>
      </c>
    </row>
  </sheetData>
  <mergeCells count="36">
    <mergeCell ref="A25:A27"/>
    <mergeCell ref="B25:B26"/>
    <mergeCell ref="C25:D26"/>
    <mergeCell ref="M25:R25"/>
    <mergeCell ref="M26:N26"/>
    <mergeCell ref="O26:P26"/>
    <mergeCell ref="Q26:R26"/>
    <mergeCell ref="G25:H26"/>
    <mergeCell ref="A1:A3"/>
    <mergeCell ref="C1:D2"/>
    <mergeCell ref="M1:R1"/>
    <mergeCell ref="M2:N2"/>
    <mergeCell ref="O2:P2"/>
    <mergeCell ref="Q2:R2"/>
    <mergeCell ref="B1:B2"/>
    <mergeCell ref="E1:F2"/>
    <mergeCell ref="G1:H2"/>
    <mergeCell ref="AF1:AK1"/>
    <mergeCell ref="AF2:AG2"/>
    <mergeCell ref="AH2:AI2"/>
    <mergeCell ref="AJ2:AK2"/>
    <mergeCell ref="Z1:AA2"/>
    <mergeCell ref="AB1:AC2"/>
    <mergeCell ref="AD1:AE2"/>
    <mergeCell ref="X1:Y2"/>
    <mergeCell ref="T1:T3"/>
    <mergeCell ref="E25:F26"/>
    <mergeCell ref="I1:J2"/>
    <mergeCell ref="I25:J26"/>
    <mergeCell ref="K1:L2"/>
    <mergeCell ref="K25:L26"/>
    <mergeCell ref="B45:D45"/>
    <mergeCell ref="E45:G45"/>
    <mergeCell ref="B43:F43"/>
    <mergeCell ref="U1:U2"/>
    <mergeCell ref="V1:W2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12" sqref="B12"/>
    </sheetView>
  </sheetViews>
  <sheetFormatPr defaultRowHeight="18.75"/>
  <cols>
    <col min="1" max="1" width="23.7109375" style="178" customWidth="1"/>
    <col min="2" max="2" width="26.42578125" style="178" customWidth="1"/>
    <col min="3" max="3" width="19.140625" customWidth="1"/>
  </cols>
  <sheetData>
    <row r="2" spans="1:3" ht="77.25" customHeight="1">
      <c r="A2" s="676" t="s">
        <v>384</v>
      </c>
      <c r="B2" s="676"/>
    </row>
    <row r="3" spans="1:3">
      <c r="A3" s="409" t="s">
        <v>471</v>
      </c>
      <c r="B3" s="409" t="s">
        <v>584</v>
      </c>
    </row>
    <row r="5" spans="1:3">
      <c r="A5" s="181">
        <f>Пр.8!G15+Пр.8!G18+Пр.8!G19+Пр.8!G24+Пр.8!G26+Пр.8!G27+Пр.8!G34+Пр.8!G48+Пр.8!G49+Пр.8!G57+Пр.8!G59+Пр.8!G61+Пр.8!G72+Пр.8!G74</f>
        <v>12850191.120000001</v>
      </c>
      <c r="B5" s="181">
        <f>Пр.8!H15+Пр.8!H18+Пр.8!H19+Пр.8!H24+Пр.8!H26+Пр.8!H27+Пр.8!H34+Пр.8!H48+Пр.8!H49+Пр.8!H57+Пр.8!H59+Пр.8!H61+Пр.8!H72+Пр.8!H74</f>
        <v>7011182.4000000004</v>
      </c>
    </row>
    <row r="7" spans="1:3">
      <c r="A7" s="179">
        <v>2.5000000000000001E-2</v>
      </c>
      <c r="B7" s="180">
        <v>0.05</v>
      </c>
      <c r="C7" s="98" t="s">
        <v>443</v>
      </c>
    </row>
    <row r="8" spans="1:3">
      <c r="C8" s="98"/>
    </row>
    <row r="9" spans="1:3">
      <c r="A9" s="676" t="s">
        <v>385</v>
      </c>
      <c r="B9" s="676"/>
      <c r="C9" s="98"/>
    </row>
    <row r="10" spans="1:3">
      <c r="C10" s="98"/>
    </row>
    <row r="11" spans="1:3">
      <c r="A11" s="181">
        <f>A5*A7</f>
        <v>321254.77800000005</v>
      </c>
      <c r="B11" s="181">
        <f>B5*B7</f>
        <v>350559.12000000005</v>
      </c>
      <c r="C11" s="98" t="s">
        <v>441</v>
      </c>
    </row>
    <row r="12" spans="1:3">
      <c r="A12" s="206">
        <v>330000</v>
      </c>
      <c r="B12" s="206">
        <v>650000</v>
      </c>
      <c r="C12" s="98" t="s">
        <v>442</v>
      </c>
    </row>
    <row r="14" spans="1:3" ht="37.5">
      <c r="A14" s="192" t="s">
        <v>439</v>
      </c>
    </row>
    <row r="15" spans="1:3">
      <c r="A15" s="192">
        <v>2022</v>
      </c>
      <c r="B15" s="192">
        <v>2023</v>
      </c>
      <c r="C15" s="199">
        <v>2024</v>
      </c>
    </row>
    <row r="16" spans="1:3">
      <c r="A16" s="200">
        <f>'Пр. 2'!C102-'Пр. 7'!G91</f>
        <v>-2353302.8200000003</v>
      </c>
      <c r="B16" s="198">
        <f>'Пр. 2'!D102-Пр.8!G75-у.у!A12</f>
        <v>0</v>
      </c>
      <c r="C16" s="198">
        <f>'Пр. 2'!E102-Пр.8!H75-B12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topLeftCell="A31" workbookViewId="0">
      <selection activeCell="G13" sqref="G13"/>
    </sheetView>
  </sheetViews>
  <sheetFormatPr defaultRowHeight="15"/>
  <cols>
    <col min="1" max="1" width="7.28515625" style="153" customWidth="1"/>
    <col min="2" max="2" width="135.140625" style="153" customWidth="1"/>
    <col min="3" max="3" width="14" style="153" customWidth="1"/>
    <col min="4" max="4" width="13.85546875" style="153" customWidth="1"/>
    <col min="5" max="5" width="17" style="153" customWidth="1"/>
    <col min="6" max="6" width="14.5703125" style="262" customWidth="1"/>
    <col min="7" max="7" width="5.42578125" style="262" customWidth="1"/>
    <col min="8" max="8" width="12.5703125" customWidth="1"/>
    <col min="9" max="9" width="12.140625" customWidth="1"/>
    <col min="10" max="10" width="13.28515625" style="529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262" customWidth="1"/>
    <col min="23" max="23" width="11.42578125" bestFit="1" customWidth="1"/>
  </cols>
  <sheetData>
    <row r="1" spans="2:22" ht="15.75">
      <c r="C1" s="340">
        <v>2022</v>
      </c>
      <c r="D1" s="340">
        <v>2023</v>
      </c>
      <c r="E1" s="340">
        <v>2024</v>
      </c>
    </row>
    <row r="2" spans="2:22">
      <c r="B2" s="341" t="s">
        <v>189</v>
      </c>
    </row>
    <row r="3" spans="2:22" ht="15.75">
      <c r="B3" s="342" t="s">
        <v>21</v>
      </c>
      <c r="C3" s="112">
        <v>6690300</v>
      </c>
      <c r="D3" s="112">
        <v>6203100</v>
      </c>
      <c r="E3" s="412">
        <v>0</v>
      </c>
      <c r="F3" s="263">
        <f>SUM(C3:E3)</f>
        <v>12893400</v>
      </c>
      <c r="G3" s="263"/>
      <c r="J3" s="529" t="s">
        <v>632</v>
      </c>
      <c r="K3" s="31">
        <v>787788</v>
      </c>
    </row>
    <row r="4" spans="2:22" ht="15.75">
      <c r="B4" s="343" t="s">
        <v>108</v>
      </c>
      <c r="C4" s="111">
        <v>495969.88</v>
      </c>
      <c r="D4" s="112"/>
      <c r="E4" s="112"/>
      <c r="J4" s="529" t="s">
        <v>633</v>
      </c>
      <c r="K4" s="31">
        <v>893700</v>
      </c>
    </row>
    <row r="5" spans="2:22" ht="31.5">
      <c r="B5" s="287" t="s">
        <v>22</v>
      </c>
      <c r="C5" s="111">
        <v>252675</v>
      </c>
      <c r="D5" s="111">
        <v>246500</v>
      </c>
      <c r="E5" s="111">
        <v>254900</v>
      </c>
      <c r="F5" s="263">
        <f>SUM(C5:E5)</f>
        <v>754075</v>
      </c>
      <c r="G5" s="263"/>
      <c r="H5" s="31"/>
      <c r="I5" s="31"/>
      <c r="J5" s="529" t="s">
        <v>634</v>
      </c>
      <c r="K5" s="31">
        <v>166692</v>
      </c>
    </row>
    <row r="6" spans="2:22" ht="15.75">
      <c r="B6" s="287"/>
      <c r="C6" s="111">
        <v>170000</v>
      </c>
      <c r="D6" s="111">
        <v>170000</v>
      </c>
      <c r="E6" s="111">
        <v>170000</v>
      </c>
      <c r="H6" s="527" t="s">
        <v>631</v>
      </c>
      <c r="I6" s="528" t="s">
        <v>289</v>
      </c>
      <c r="J6" s="528">
        <v>111</v>
      </c>
      <c r="K6" s="31">
        <f>K3+K4+K5</f>
        <v>1848180</v>
      </c>
    </row>
    <row r="7" spans="2:22" ht="15.75">
      <c r="B7" s="287"/>
      <c r="C7" s="111">
        <v>51000</v>
      </c>
      <c r="D7" s="111">
        <v>51000</v>
      </c>
      <c r="E7" s="111">
        <v>51000</v>
      </c>
      <c r="H7" s="527"/>
      <c r="I7" s="527"/>
      <c r="J7" s="528">
        <v>119</v>
      </c>
      <c r="K7" s="31">
        <f>K6*0.302</f>
        <v>558150.36</v>
      </c>
    </row>
    <row r="8" spans="2:22" ht="15.75">
      <c r="B8" s="287"/>
      <c r="C8" s="112">
        <f>C5-C6-C7</f>
        <v>31675</v>
      </c>
      <c r="D8" s="112">
        <f>D5-D6-D7</f>
        <v>25500</v>
      </c>
      <c r="E8" s="112">
        <f>E5-E6-E7</f>
        <v>33900</v>
      </c>
      <c r="K8" s="535">
        <f>K6+K7</f>
        <v>2406330.36</v>
      </c>
    </row>
    <row r="9" spans="2:22" ht="47.25">
      <c r="B9" s="344" t="s">
        <v>446</v>
      </c>
      <c r="C9" s="111">
        <v>929382</v>
      </c>
      <c r="D9" s="111"/>
      <c r="E9" s="111"/>
      <c r="F9" s="581">
        <f>C9+C16</f>
        <v>1651882</v>
      </c>
      <c r="G9" s="308"/>
    </row>
    <row r="10" spans="2:22" ht="15.75">
      <c r="B10" s="344" t="s">
        <v>237</v>
      </c>
      <c r="C10" s="111">
        <f>C9*100/130.2</f>
        <v>713811.05990783416</v>
      </c>
      <c r="D10" s="111"/>
      <c r="E10" s="111"/>
      <c r="F10" s="263">
        <f>D5+E5</f>
        <v>501400</v>
      </c>
    </row>
    <row r="11" spans="2:22" ht="15.75">
      <c r="B11" s="344" t="s">
        <v>238</v>
      </c>
      <c r="C11" s="111">
        <f>C9-C10</f>
        <v>215570.94009216584</v>
      </c>
      <c r="D11" s="111"/>
      <c r="E11" s="111"/>
    </row>
    <row r="12" spans="2:22" ht="15.75">
      <c r="B12" s="344" t="s">
        <v>463</v>
      </c>
      <c r="C12" s="111">
        <v>0</v>
      </c>
      <c r="D12" s="111"/>
      <c r="E12" s="111"/>
    </row>
    <row r="13" spans="2:22" ht="15.75">
      <c r="B13" s="344"/>
      <c r="C13" s="111"/>
      <c r="D13" s="111"/>
      <c r="E13" s="111"/>
      <c r="K13" s="31"/>
    </row>
    <row r="14" spans="2:22" s="153" customFormat="1" ht="31.5">
      <c r="B14" s="344" t="s">
        <v>625</v>
      </c>
      <c r="C14" s="111">
        <v>0</v>
      </c>
      <c r="D14" s="111"/>
      <c r="E14" s="111"/>
      <c r="F14" s="521"/>
      <c r="G14" s="521"/>
      <c r="J14" s="111">
        <v>722500</v>
      </c>
      <c r="K14" s="560">
        <f>J14*92.5%</f>
        <v>668312.5</v>
      </c>
      <c r="V14" s="521"/>
    </row>
    <row r="15" spans="2:22" ht="15.75">
      <c r="B15" s="344"/>
      <c r="C15" s="111"/>
      <c r="D15" s="111"/>
      <c r="E15" s="111"/>
      <c r="J15" s="111">
        <v>89250</v>
      </c>
      <c r="K15" s="560">
        <f>J15*92.5%</f>
        <v>82556.25</v>
      </c>
    </row>
    <row r="16" spans="2:22" s="153" customFormat="1" ht="31.5">
      <c r="B16" s="344" t="s">
        <v>658</v>
      </c>
      <c r="C16" s="111">
        <v>722500</v>
      </c>
      <c r="D16" s="111"/>
      <c r="E16" s="111"/>
      <c r="F16" s="521"/>
      <c r="G16" s="521"/>
      <c r="J16" s="111">
        <v>38250</v>
      </c>
      <c r="K16" s="560">
        <f>J16*92.5%</f>
        <v>35381.25</v>
      </c>
      <c r="V16" s="521"/>
    </row>
    <row r="17" spans="1:23" s="153" customFormat="1" ht="15.75">
      <c r="B17" s="344" t="s">
        <v>663</v>
      </c>
      <c r="C17" s="111">
        <v>89250</v>
      </c>
      <c r="D17" s="111"/>
      <c r="E17" s="111"/>
      <c r="F17" s="521"/>
      <c r="G17" s="521"/>
      <c r="J17" s="561">
        <v>25500</v>
      </c>
      <c r="K17" s="560">
        <f>J17*92.5%</f>
        <v>23587.5</v>
      </c>
      <c r="V17" s="521"/>
    </row>
    <row r="18" spans="1:23" s="153" customFormat="1" ht="15.75">
      <c r="B18" s="344" t="s">
        <v>664</v>
      </c>
      <c r="C18" s="111">
        <v>38250</v>
      </c>
      <c r="D18" s="111"/>
      <c r="E18" s="111"/>
      <c r="F18" s="521"/>
      <c r="G18" s="521"/>
      <c r="J18" s="561">
        <v>12750</v>
      </c>
      <c r="K18" s="560">
        <f>J18*92.5%</f>
        <v>11793.75</v>
      </c>
      <c r="V18" s="521"/>
    </row>
    <row r="19" spans="1:23" ht="15.75">
      <c r="B19" s="344"/>
      <c r="C19" s="111"/>
      <c r="D19" s="111"/>
      <c r="E19" s="111"/>
      <c r="K19" s="31">
        <f>SUM(K14:K18)-K16</f>
        <v>786250</v>
      </c>
    </row>
    <row r="20" spans="1:23" ht="31.5">
      <c r="B20" s="356" t="s">
        <v>542</v>
      </c>
      <c r="C20" s="357">
        <v>0</v>
      </c>
      <c r="D20" s="357"/>
      <c r="E20" s="357"/>
      <c r="J20" s="562"/>
    </row>
    <row r="21" spans="1:23" ht="15.75">
      <c r="B21" s="344"/>
      <c r="C21" s="111"/>
      <c r="D21" s="111"/>
      <c r="E21" s="111"/>
    </row>
    <row r="22" spans="1:23" ht="56.25">
      <c r="B22" s="394" t="s">
        <v>24</v>
      </c>
      <c r="C22" s="395">
        <f>C24+C32+C36+C40+C42+C44+C46+C48+C50+C52+C54+C56+C58+C60+C62+C64+C66</f>
        <v>11392814.039999999</v>
      </c>
      <c r="D22" s="395">
        <f>D24+D32+D36+D40+D42+D44+D46+D48+D50+D52+D54+D56+D58+D60+D62+D64+D66</f>
        <v>4030817.6</v>
      </c>
      <c r="E22" s="395">
        <f>E24+E32+E36+E40+E42+E44+E46+E48+E50+E52+E54+E56+E58+E60+E62+E64+E66</f>
        <v>4030817.6</v>
      </c>
      <c r="F22" s="263">
        <f>SUM(C22:E22)</f>
        <v>19454449.239999998</v>
      </c>
      <c r="G22" s="263"/>
      <c r="H22" s="31">
        <f>D22+E22</f>
        <v>8061635.2000000002</v>
      </c>
      <c r="I22" s="31"/>
    </row>
    <row r="23" spans="1:23" s="240" customFormat="1" ht="9.75" customHeight="1">
      <c r="A23" s="347"/>
      <c r="B23" s="152"/>
      <c r="C23" s="345"/>
      <c r="D23" s="346"/>
      <c r="E23" s="346"/>
      <c r="F23" s="265"/>
      <c r="G23" s="266"/>
      <c r="J23" s="530"/>
      <c r="V23" s="265"/>
    </row>
    <row r="24" spans="1:23" s="26" customFormat="1" ht="17.25" customHeight="1">
      <c r="A24" s="150"/>
      <c r="B24" s="396" t="s">
        <v>241</v>
      </c>
      <c r="C24" s="398">
        <v>1259699.56</v>
      </c>
      <c r="D24" s="398">
        <v>817300.6</v>
      </c>
      <c r="E24" s="398">
        <v>817300.6</v>
      </c>
      <c r="F24" s="422"/>
      <c r="G24" s="264"/>
      <c r="J24" s="531"/>
    </row>
    <row r="25" spans="1:23" ht="18.75">
      <c r="B25" s="399" t="s">
        <v>237</v>
      </c>
      <c r="C25" s="400">
        <f>F25*100/130.2</f>
        <v>509508.11059907847</v>
      </c>
      <c r="D25" s="400">
        <f>C25</f>
        <v>509508.11059907847</v>
      </c>
      <c r="E25" s="400">
        <f>C25</f>
        <v>509508.11059907847</v>
      </c>
      <c r="F25" s="423">
        <v>663379.56000000006</v>
      </c>
      <c r="G25" s="263"/>
      <c r="H25" s="31"/>
      <c r="I25" s="263"/>
      <c r="V25"/>
    </row>
    <row r="26" spans="1:23" ht="15.75" customHeight="1">
      <c r="B26" s="399" t="s">
        <v>238</v>
      </c>
      <c r="C26" s="400">
        <f>F25-C25</f>
        <v>153871.44940092159</v>
      </c>
      <c r="D26" s="400">
        <f>C26</f>
        <v>153871.44940092159</v>
      </c>
      <c r="E26" s="400">
        <f>C26</f>
        <v>153871.44940092159</v>
      </c>
      <c r="F26" s="263"/>
      <c r="G26" s="263"/>
      <c r="H26" s="51"/>
      <c r="I26" s="263"/>
      <c r="U26" s="541"/>
      <c r="V26"/>
    </row>
    <row r="27" spans="1:23" ht="15.75" customHeight="1">
      <c r="B27" s="424" t="s">
        <v>616</v>
      </c>
      <c r="C27" s="400">
        <f>C24-C25-C26</f>
        <v>596320</v>
      </c>
      <c r="D27" s="400">
        <f>D24-D25-D26-D28</f>
        <v>153921.03999999992</v>
      </c>
      <c r="E27" s="400">
        <f>E24-E25-E26-E28</f>
        <v>153921.03999999992</v>
      </c>
      <c r="F27" s="263"/>
      <c r="G27" s="263"/>
      <c r="H27" s="51"/>
      <c r="I27" s="263"/>
      <c r="U27" s="542"/>
      <c r="V27"/>
    </row>
    <row r="28" spans="1:23" ht="15.75">
      <c r="B28" s="430" t="s">
        <v>617</v>
      </c>
      <c r="C28" s="400">
        <v>500000</v>
      </c>
      <c r="D28" s="400"/>
      <c r="E28" s="400"/>
      <c r="F28" s="263"/>
      <c r="G28" s="263"/>
      <c r="U28" s="542"/>
      <c r="V28"/>
    </row>
    <row r="29" spans="1:23" ht="15.75">
      <c r="B29" s="430" t="s">
        <v>618</v>
      </c>
      <c r="C29" s="400">
        <v>74320</v>
      </c>
      <c r="D29" s="400"/>
      <c r="E29" s="400"/>
      <c r="F29" s="263"/>
      <c r="G29" s="263"/>
      <c r="V29"/>
    </row>
    <row r="30" spans="1:23" ht="15.75">
      <c r="B30" s="430" t="s">
        <v>619</v>
      </c>
      <c r="C30" s="400">
        <v>22000</v>
      </c>
      <c r="D30" s="400"/>
      <c r="E30" s="400"/>
      <c r="F30" s="263"/>
      <c r="G30" s="263"/>
      <c r="U30" s="262"/>
      <c r="W30" s="262"/>
    </row>
    <row r="31" spans="1:23" s="33" customFormat="1" ht="15.75">
      <c r="A31" s="299"/>
      <c r="B31" s="154"/>
      <c r="C31" s="111"/>
      <c r="D31" s="111"/>
      <c r="E31" s="111"/>
      <c r="F31" s="267"/>
      <c r="G31" s="267"/>
      <c r="J31" s="78"/>
      <c r="U31" s="268"/>
      <c r="V31" s="268"/>
      <c r="W31" s="267"/>
    </row>
    <row r="32" spans="1:23" s="26" customFormat="1" ht="31.5">
      <c r="A32" s="150"/>
      <c r="B32" s="396" t="s">
        <v>236</v>
      </c>
      <c r="C32" s="398">
        <v>485003.25</v>
      </c>
      <c r="D32" s="402"/>
      <c r="E32" s="402"/>
      <c r="F32" s="239"/>
      <c r="G32" s="264"/>
      <c r="J32" s="531"/>
      <c r="U32" s="239"/>
      <c r="V32" s="239"/>
      <c r="W32" s="239"/>
    </row>
    <row r="33" spans="1:25" ht="15.75">
      <c r="B33" s="399" t="s">
        <v>237</v>
      </c>
      <c r="C33" s="400">
        <f>C32*100/130.2</f>
        <v>372506.33640552999</v>
      </c>
      <c r="D33" s="401"/>
      <c r="E33" s="401"/>
      <c r="G33" s="263"/>
    </row>
    <row r="34" spans="1:25" ht="15.75">
      <c r="B34" s="399" t="s">
        <v>238</v>
      </c>
      <c r="C34" s="400">
        <f>C32-C33</f>
        <v>112496.91359447001</v>
      </c>
      <c r="D34" s="401"/>
      <c r="E34" s="401"/>
      <c r="G34" s="263"/>
    </row>
    <row r="35" spans="1:25" s="33" customFormat="1" ht="15.75">
      <c r="A35" s="299"/>
      <c r="B35" s="154"/>
      <c r="C35" s="111"/>
      <c r="D35" s="112"/>
      <c r="E35" s="112"/>
      <c r="F35" s="268"/>
      <c r="G35" s="267"/>
      <c r="J35" s="78"/>
      <c r="V35" s="268"/>
    </row>
    <row r="36" spans="1:25" s="26" customFormat="1" ht="63">
      <c r="A36" s="150"/>
      <c r="B36" s="396" t="s">
        <v>239</v>
      </c>
      <c r="C36" s="397">
        <v>25526.48</v>
      </c>
      <c r="D36" s="398">
        <f>D37+D38</f>
        <v>0</v>
      </c>
      <c r="E36" s="398">
        <f>E37+E38</f>
        <v>0</v>
      </c>
      <c r="F36" s="269"/>
      <c r="G36" s="264"/>
      <c r="J36" s="531"/>
      <c r="U36" s="543"/>
      <c r="V36" s="543"/>
      <c r="W36" s="544"/>
      <c r="X36" s="544"/>
      <c r="Y36" s="544"/>
    </row>
    <row r="37" spans="1:25" s="30" customFormat="1" ht="15.75">
      <c r="A37" s="153"/>
      <c r="B37" s="399" t="s">
        <v>237</v>
      </c>
      <c r="C37" s="400">
        <f>C36*100/130.2</f>
        <v>19605.591397849465</v>
      </c>
      <c r="D37" s="401"/>
      <c r="E37" s="401"/>
      <c r="F37" s="270"/>
      <c r="G37" s="263"/>
      <c r="J37" s="532"/>
      <c r="U37" s="348"/>
      <c r="V37" s="348"/>
      <c r="W37" s="545"/>
      <c r="X37" s="545"/>
      <c r="Y37" s="545"/>
    </row>
    <row r="38" spans="1:25" s="30" customFormat="1" ht="15.75">
      <c r="A38" s="153"/>
      <c r="B38" s="399" t="s">
        <v>238</v>
      </c>
      <c r="C38" s="400">
        <f>C36-C37</f>
        <v>5920.888602150535</v>
      </c>
      <c r="D38" s="401"/>
      <c r="E38" s="401"/>
      <c r="F38" s="270"/>
      <c r="G38" s="263"/>
      <c r="J38" s="532"/>
      <c r="U38" s="543"/>
      <c r="V38" s="543"/>
      <c r="W38" s="545"/>
      <c r="X38" s="545"/>
      <c r="Y38" s="545"/>
    </row>
    <row r="39" spans="1:25" s="241" customFormat="1" ht="9.75" customHeight="1">
      <c r="A39" s="299"/>
      <c r="B39" s="154"/>
      <c r="C39" s="111"/>
      <c r="D39" s="112"/>
      <c r="E39" s="112"/>
      <c r="F39" s="271"/>
      <c r="G39" s="267"/>
      <c r="J39" s="533"/>
      <c r="V39" s="268"/>
    </row>
    <row r="40" spans="1:25" s="26" customFormat="1" ht="15.75">
      <c r="A40" s="150"/>
      <c r="B40" s="396" t="s">
        <v>240</v>
      </c>
      <c r="C40" s="398">
        <v>2400000</v>
      </c>
      <c r="D40" s="398">
        <v>1200000</v>
      </c>
      <c r="E40" s="398">
        <v>1200000</v>
      </c>
      <c r="F40" s="269"/>
      <c r="G40" s="264"/>
      <c r="J40" s="531"/>
      <c r="V40" s="239"/>
    </row>
    <row r="41" spans="1:25" s="240" customFormat="1" ht="9.75" customHeight="1">
      <c r="A41" s="347"/>
      <c r="B41" s="152"/>
      <c r="C41" s="345"/>
      <c r="D41" s="345"/>
      <c r="E41" s="345"/>
      <c r="F41" s="272"/>
      <c r="G41" s="266"/>
      <c r="J41" s="530"/>
      <c r="V41" s="265"/>
    </row>
    <row r="42" spans="1:25" s="26" customFormat="1" ht="15.75">
      <c r="A42" s="150"/>
      <c r="B42" s="396" t="s">
        <v>674</v>
      </c>
      <c r="C42" s="398">
        <v>835000</v>
      </c>
      <c r="D42" s="398">
        <v>335000</v>
      </c>
      <c r="E42" s="398">
        <v>335000</v>
      </c>
      <c r="F42" s="269"/>
      <c r="G42" s="264"/>
      <c r="J42" s="531"/>
      <c r="V42" s="239"/>
    </row>
    <row r="43" spans="1:25" s="240" customFormat="1" ht="9.75" customHeight="1">
      <c r="A43" s="347"/>
      <c r="B43" s="152"/>
      <c r="C43" s="345"/>
      <c r="D43" s="346"/>
      <c r="E43" s="346"/>
      <c r="F43" s="272"/>
      <c r="G43" s="266"/>
      <c r="J43" s="530"/>
      <c r="M43" s="240" t="s">
        <v>655</v>
      </c>
      <c r="N43" s="240" t="s">
        <v>656</v>
      </c>
      <c r="O43" s="240" t="s">
        <v>657</v>
      </c>
      <c r="Q43" s="240" t="s">
        <v>672</v>
      </c>
      <c r="R43" s="240" t="s">
        <v>657</v>
      </c>
      <c r="V43" s="265"/>
    </row>
    <row r="44" spans="1:25" s="26" customFormat="1" ht="31.5">
      <c r="A44" s="150"/>
      <c r="B44" s="396" t="s">
        <v>622</v>
      </c>
      <c r="C44" s="398">
        <v>1507005</v>
      </c>
      <c r="D44" s="398">
        <v>450000</v>
      </c>
      <c r="E44" s="398">
        <v>357005</v>
      </c>
      <c r="F44" s="269">
        <f>D44*0.75</f>
        <v>337500</v>
      </c>
      <c r="G44" s="264"/>
      <c r="H44" s="51">
        <f>D44-F44</f>
        <v>112500</v>
      </c>
      <c r="J44" s="531">
        <v>356992.67</v>
      </c>
      <c r="K44" s="51">
        <f>J44*0.75</f>
        <v>267744.5025</v>
      </c>
      <c r="L44" s="26">
        <f>K44/K48</f>
        <v>0.3115878759523471</v>
      </c>
      <c r="M44" s="51">
        <f>M48*L44</f>
        <v>53903.244308496593</v>
      </c>
      <c r="N44" s="51">
        <f>N48*L44</f>
        <v>138994.80851111066</v>
      </c>
      <c r="O44" s="26">
        <v>172995.32</v>
      </c>
      <c r="P44" s="51">
        <f>M44+N44-O44</f>
        <v>19902.732819607249</v>
      </c>
      <c r="Q44" s="51">
        <f>Q48*L44</f>
        <v>17493.456308441306</v>
      </c>
      <c r="R44" s="26">
        <v>97.27</v>
      </c>
      <c r="S44" s="51">
        <f>Q44-R44</f>
        <v>17396.186308441305</v>
      </c>
      <c r="V44" s="239"/>
    </row>
    <row r="45" spans="1:25" s="240" customFormat="1" ht="15.75">
      <c r="A45" s="347"/>
      <c r="B45" s="154"/>
      <c r="C45" s="111"/>
      <c r="D45" s="111"/>
      <c r="E45" s="111"/>
      <c r="F45" s="272"/>
      <c r="G45" s="266"/>
      <c r="J45" s="530"/>
      <c r="K45" s="422"/>
      <c r="M45" s="422"/>
      <c r="N45" s="422"/>
      <c r="Q45" s="422"/>
      <c r="V45" s="265"/>
    </row>
    <row r="46" spans="1:25" s="26" customFormat="1" ht="31.5">
      <c r="A46" s="150"/>
      <c r="B46" s="396" t="s">
        <v>673</v>
      </c>
      <c r="C46" s="398">
        <v>938731</v>
      </c>
      <c r="D46" s="398">
        <v>695736</v>
      </c>
      <c r="E46" s="398">
        <v>788731</v>
      </c>
      <c r="F46" s="269">
        <f>D46*0.75</f>
        <v>521802</v>
      </c>
      <c r="G46" s="264"/>
      <c r="H46" s="51">
        <f>D46-F46</f>
        <v>173934</v>
      </c>
      <c r="J46" s="534">
        <v>788728</v>
      </c>
      <c r="K46" s="51">
        <f>J46*0.75</f>
        <v>591546</v>
      </c>
      <c r="L46" s="26">
        <f>K46/K48</f>
        <v>0.68841212404765295</v>
      </c>
      <c r="M46" s="51">
        <f>M48*L46</f>
        <v>119092.07569150343</v>
      </c>
      <c r="N46" s="51">
        <f>N48*L46</f>
        <v>307090.61148888938</v>
      </c>
      <c r="P46" s="51">
        <f>M46+N46-O46</f>
        <v>426182.68718039279</v>
      </c>
      <c r="Q46" s="51">
        <f>Q48*L46</f>
        <v>38649.473691558698</v>
      </c>
      <c r="R46" s="26">
        <v>3817.31</v>
      </c>
      <c r="S46" s="51">
        <f>Q46-R46</f>
        <v>34832.163691558701</v>
      </c>
      <c r="V46" s="239"/>
    </row>
    <row r="47" spans="1:25" s="240" customFormat="1" ht="9.75" customHeight="1">
      <c r="A47" s="347"/>
      <c r="B47" s="152"/>
      <c r="C47" s="345"/>
      <c r="D47" s="345"/>
      <c r="E47" s="345"/>
      <c r="F47" s="272"/>
      <c r="G47" s="266"/>
      <c r="J47" s="530"/>
      <c r="K47" s="422"/>
      <c r="M47" s="422"/>
      <c r="N47" s="422"/>
      <c r="Q47" s="422"/>
      <c r="V47" s="265"/>
    </row>
    <row r="48" spans="1:25" s="26" customFormat="1" ht="15.75">
      <c r="A48" s="150"/>
      <c r="B48" s="396" t="s">
        <v>375</v>
      </c>
      <c r="C48" s="398">
        <v>652781</v>
      </c>
      <c r="D48" s="398">
        <v>322781</v>
      </c>
      <c r="E48" s="398">
        <v>322781</v>
      </c>
      <c r="F48" s="269"/>
      <c r="G48" s="264"/>
      <c r="J48" s="531"/>
      <c r="K48" s="51">
        <f>K44+K46</f>
        <v>859290.50249999994</v>
      </c>
      <c r="L48" s="26">
        <f>L44+L46</f>
        <v>1</v>
      </c>
      <c r="M48" s="51">
        <v>172995.32</v>
      </c>
      <c r="N48" s="51">
        <v>446085.42</v>
      </c>
      <c r="P48" s="51">
        <f>P44+P46</f>
        <v>446085.42000000004</v>
      </c>
      <c r="Q48" s="51">
        <v>56142.93</v>
      </c>
      <c r="V48" s="239"/>
    </row>
    <row r="49" spans="1:22" s="240" customFormat="1" ht="9.75" customHeight="1">
      <c r="A49" s="347"/>
      <c r="B49" s="154"/>
      <c r="C49" s="111"/>
      <c r="D49" s="111"/>
      <c r="E49" s="111"/>
      <c r="F49" s="272"/>
      <c r="G49" s="266"/>
      <c r="J49" s="530"/>
      <c r="V49" s="265"/>
    </row>
    <row r="50" spans="1:22" s="26" customFormat="1" ht="15.75">
      <c r="A50" s="150"/>
      <c r="B50" s="396" t="s">
        <v>367</v>
      </c>
      <c r="C50" s="402">
        <v>424500</v>
      </c>
      <c r="D50" s="402">
        <v>210000</v>
      </c>
      <c r="E50" s="402">
        <v>210000</v>
      </c>
      <c r="F50" s="269"/>
      <c r="G50" s="264"/>
      <c r="J50" s="531"/>
      <c r="V50" s="239"/>
    </row>
    <row r="51" spans="1:22" s="240" customFormat="1" ht="15.75">
      <c r="A51" s="347"/>
      <c r="B51" s="152"/>
      <c r="C51" s="345"/>
      <c r="D51" s="346"/>
      <c r="E51" s="346"/>
      <c r="F51" s="272"/>
      <c r="G51" s="266"/>
      <c r="J51" s="530"/>
      <c r="V51" s="265"/>
    </row>
    <row r="52" spans="1:22" s="240" customFormat="1" ht="15.75">
      <c r="A52" s="347"/>
      <c r="B52" s="396" t="s">
        <v>464</v>
      </c>
      <c r="C52" s="398">
        <v>1733447</v>
      </c>
      <c r="D52" s="402">
        <v>0</v>
      </c>
      <c r="E52" s="402">
        <v>0</v>
      </c>
      <c r="F52" s="272"/>
      <c r="G52" s="266"/>
      <c r="J52" s="530"/>
      <c r="V52" s="265"/>
    </row>
    <row r="53" spans="1:22" s="240" customFormat="1" ht="15.75">
      <c r="A53" s="347"/>
      <c r="B53" s="152"/>
      <c r="C53" s="345"/>
      <c r="D53" s="346"/>
      <c r="E53" s="346"/>
      <c r="F53" s="272"/>
      <c r="G53" s="266"/>
      <c r="J53" s="530"/>
      <c r="V53" s="265"/>
    </row>
    <row r="54" spans="1:22" s="240" customFormat="1" ht="15.75">
      <c r="A54" s="347"/>
      <c r="B54" s="152" t="s">
        <v>465</v>
      </c>
      <c r="C54" s="345">
        <v>0</v>
      </c>
      <c r="D54" s="346"/>
      <c r="E54" s="346"/>
      <c r="F54" s="272"/>
      <c r="G54" s="266"/>
      <c r="J54" s="530"/>
      <c r="V54" s="265"/>
    </row>
    <row r="55" spans="1:22" s="240" customFormat="1" ht="8.25" customHeight="1">
      <c r="A55" s="347"/>
      <c r="B55" s="152"/>
      <c r="C55" s="345"/>
      <c r="D55" s="346"/>
      <c r="E55" s="346"/>
      <c r="F55" s="272"/>
      <c r="G55" s="266"/>
      <c r="J55" s="530"/>
      <c r="V55" s="265"/>
    </row>
    <row r="56" spans="1:22" s="240" customFormat="1" ht="15.75">
      <c r="A56" s="347"/>
      <c r="B56" s="152" t="s">
        <v>536</v>
      </c>
      <c r="C56" s="345">
        <v>60000</v>
      </c>
      <c r="D56" s="346"/>
      <c r="E56" s="346"/>
      <c r="F56" s="272"/>
      <c r="G56" s="266"/>
      <c r="J56" s="530"/>
      <c r="V56" s="265"/>
    </row>
    <row r="57" spans="1:22" s="240" customFormat="1" ht="7.5" customHeight="1">
      <c r="A57" s="347"/>
      <c r="B57" s="152"/>
      <c r="C57" s="345"/>
      <c r="D57" s="346"/>
      <c r="E57" s="346"/>
      <c r="F57" s="272"/>
      <c r="G57" s="266"/>
      <c r="J57" s="530"/>
      <c r="V57" s="265"/>
    </row>
    <row r="58" spans="1:22" s="240" customFormat="1" ht="15.75">
      <c r="A58" s="347"/>
      <c r="B58" s="152" t="s">
        <v>548</v>
      </c>
      <c r="C58" s="345">
        <v>0</v>
      </c>
      <c r="D58" s="346"/>
      <c r="E58" s="346"/>
      <c r="F58" s="272"/>
      <c r="G58" s="266"/>
      <c r="J58" s="530"/>
      <c r="V58" s="265"/>
    </row>
    <row r="59" spans="1:22" s="240" customFormat="1" ht="9" customHeight="1">
      <c r="A59" s="347"/>
      <c r="B59" s="152"/>
      <c r="C59" s="345"/>
      <c r="D59" s="346"/>
      <c r="E59" s="346"/>
      <c r="F59" s="272"/>
      <c r="G59" s="266"/>
      <c r="J59" s="530"/>
      <c r="V59" s="265"/>
    </row>
    <row r="60" spans="1:22" s="240" customFormat="1" ht="15.75">
      <c r="A60" s="347"/>
      <c r="B60" s="152" t="s">
        <v>549</v>
      </c>
      <c r="C60" s="345">
        <v>0</v>
      </c>
      <c r="D60" s="346"/>
      <c r="E60" s="346"/>
      <c r="F60" s="272"/>
      <c r="G60" s="266"/>
      <c r="J60" s="530"/>
      <c r="V60" s="265"/>
    </row>
    <row r="61" spans="1:22" s="240" customFormat="1" ht="8.25" customHeight="1">
      <c r="A61" s="347"/>
      <c r="B61" s="152"/>
      <c r="C61" s="345"/>
      <c r="D61" s="346"/>
      <c r="E61" s="346"/>
      <c r="F61" s="272"/>
      <c r="G61" s="266"/>
      <c r="J61" s="530"/>
      <c r="V61" s="265"/>
    </row>
    <row r="62" spans="1:22" s="240" customFormat="1" ht="15.75">
      <c r="A62" s="347"/>
      <c r="B62" s="152" t="s">
        <v>550</v>
      </c>
      <c r="C62" s="345">
        <v>0</v>
      </c>
      <c r="D62" s="346"/>
      <c r="E62" s="346"/>
      <c r="F62" s="272"/>
      <c r="G62" s="266"/>
      <c r="J62" s="530"/>
      <c r="V62" s="265"/>
    </row>
    <row r="63" spans="1:22" s="240" customFormat="1" ht="9.75" customHeight="1">
      <c r="A63" s="347"/>
      <c r="B63" s="152"/>
      <c r="C63" s="345"/>
      <c r="D63" s="346"/>
      <c r="E63" s="346"/>
      <c r="F63" s="272"/>
      <c r="G63" s="266"/>
      <c r="J63" s="530"/>
      <c r="V63" s="265"/>
    </row>
    <row r="64" spans="1:22" s="240" customFormat="1" ht="15.75">
      <c r="A64" s="347"/>
      <c r="B64" s="152" t="s">
        <v>565</v>
      </c>
      <c r="C64" s="345">
        <v>971120.75</v>
      </c>
      <c r="D64" s="346"/>
      <c r="E64" s="346"/>
      <c r="F64" s="272"/>
      <c r="G64" s="266"/>
      <c r="J64" s="530"/>
      <c r="V64" s="265"/>
    </row>
    <row r="65" spans="1:22" s="240" customFormat="1" ht="9.75" customHeight="1">
      <c r="A65" s="347"/>
      <c r="B65" s="152"/>
      <c r="C65" s="345"/>
      <c r="D65" s="346"/>
      <c r="E65" s="346"/>
      <c r="F65" s="272"/>
      <c r="G65" s="266"/>
      <c r="J65" s="530"/>
      <c r="V65" s="265"/>
    </row>
    <row r="66" spans="1:22" s="26" customFormat="1" ht="15.75">
      <c r="A66" s="150"/>
      <c r="B66" s="152" t="s">
        <v>250</v>
      </c>
      <c r="C66" s="345">
        <v>100000</v>
      </c>
      <c r="D66" s="346">
        <v>0</v>
      </c>
      <c r="E66" s="346">
        <v>0</v>
      </c>
      <c r="F66" s="269"/>
      <c r="G66" s="264"/>
      <c r="J66" s="531"/>
      <c r="V66" s="239"/>
    </row>
    <row r="68" spans="1:22" ht="15.75">
      <c r="B68" s="348" t="s">
        <v>226</v>
      </c>
      <c r="C68" s="349"/>
      <c r="D68" s="350">
        <v>27491.279999999999</v>
      </c>
      <c r="E68" s="350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G13" sqref="G13"/>
    </sheetView>
  </sheetViews>
  <sheetFormatPr defaultRowHeight="15"/>
  <cols>
    <col min="1" max="1" width="48.28515625" customWidth="1"/>
    <col min="2" max="2" width="12.140625" customWidth="1"/>
    <col min="3" max="3" width="12.85546875" customWidth="1"/>
    <col min="4" max="4" width="19" customWidth="1"/>
  </cols>
  <sheetData>
    <row r="1" spans="1:4">
      <c r="C1" t="s">
        <v>699</v>
      </c>
    </row>
    <row r="2" spans="1:4" s="26" customFormat="1">
      <c r="A2" s="26" t="s">
        <v>643</v>
      </c>
      <c r="B2" s="51">
        <v>2354000.13</v>
      </c>
      <c r="C2" s="51"/>
      <c r="D2" s="26" t="s">
        <v>696</v>
      </c>
    </row>
    <row r="3" spans="1:4">
      <c r="B3" s="31"/>
      <c r="D3" t="s">
        <v>697</v>
      </c>
    </row>
    <row r="4" spans="1:4">
      <c r="A4" t="s">
        <v>637</v>
      </c>
      <c r="B4" s="31">
        <v>359940</v>
      </c>
      <c r="C4" s="98"/>
      <c r="D4" t="s">
        <v>705</v>
      </c>
    </row>
    <row r="5" spans="1:4">
      <c r="A5" t="s">
        <v>638</v>
      </c>
      <c r="B5" s="31">
        <v>8918</v>
      </c>
    </row>
    <row r="6" spans="1:4" ht="21.75" thickBot="1">
      <c r="A6" t="s">
        <v>546</v>
      </c>
      <c r="B6" s="31">
        <v>888434.39</v>
      </c>
      <c r="D6" s="577"/>
    </row>
    <row r="7" spans="1:4" ht="21.75" thickBot="1">
      <c r="A7" t="s">
        <v>642</v>
      </c>
      <c r="B7" s="31"/>
      <c r="D7" s="570">
        <f>B2-'Пр. 4'!C12</f>
        <v>697.30999999959022</v>
      </c>
    </row>
    <row r="8" spans="1:4">
      <c r="A8" t="s">
        <v>639</v>
      </c>
      <c r="B8" s="31">
        <f>безвозм.пост.!C17</f>
        <v>89250</v>
      </c>
    </row>
    <row r="9" spans="1:4">
      <c r="A9" t="s">
        <v>668</v>
      </c>
      <c r="B9" s="31">
        <v>200000</v>
      </c>
    </row>
    <row r="10" spans="1:4">
      <c r="A10" t="s">
        <v>669</v>
      </c>
      <c r="B10" s="31">
        <v>100000</v>
      </c>
    </row>
    <row r="11" spans="1:4">
      <c r="A11" t="s">
        <v>670</v>
      </c>
      <c r="B11" s="31">
        <v>100000</v>
      </c>
    </row>
    <row r="12" spans="1:4">
      <c r="A12" t="s">
        <v>682</v>
      </c>
      <c r="B12" s="31">
        <v>74160</v>
      </c>
    </row>
    <row r="13" spans="1:4">
      <c r="A13" t="s">
        <v>683</v>
      </c>
      <c r="B13" s="31">
        <v>120000</v>
      </c>
    </row>
    <row r="14" spans="1:4">
      <c r="A14" t="s">
        <v>684</v>
      </c>
      <c r="B14" s="31">
        <v>51680</v>
      </c>
    </row>
    <row r="15" spans="1:4">
      <c r="A15" t="s">
        <v>685</v>
      </c>
      <c r="B15" s="31">
        <v>5000</v>
      </c>
    </row>
    <row r="16" spans="1:4">
      <c r="A16" t="s">
        <v>686</v>
      </c>
      <c r="B16" s="31">
        <v>30000</v>
      </c>
    </row>
    <row r="17" spans="1:4">
      <c r="A17" t="s">
        <v>693</v>
      </c>
      <c r="B17" s="31">
        <v>200000</v>
      </c>
    </row>
    <row r="18" spans="1:4">
      <c r="A18" t="s">
        <v>698</v>
      </c>
      <c r="B18" s="31">
        <v>124000</v>
      </c>
      <c r="C18">
        <v>71000</v>
      </c>
      <c r="D18" s="31"/>
    </row>
    <row r="19" spans="1:4">
      <c r="A19" t="s">
        <v>317</v>
      </c>
      <c r="C19">
        <v>100000</v>
      </c>
    </row>
    <row r="20" spans="1:4">
      <c r="A20" t="s">
        <v>701</v>
      </c>
      <c r="C20">
        <v>130000</v>
      </c>
    </row>
    <row r="21" spans="1:4">
      <c r="A21" t="s">
        <v>702</v>
      </c>
      <c r="C21">
        <v>50000</v>
      </c>
    </row>
    <row r="22" spans="1:4">
      <c r="A22" t="s">
        <v>703</v>
      </c>
      <c r="C22">
        <v>35000</v>
      </c>
    </row>
    <row r="23" spans="1:4">
      <c r="A23" t="s">
        <v>704</v>
      </c>
      <c r="C23">
        <v>80000</v>
      </c>
    </row>
    <row r="24" spans="1:4">
      <c r="A24" t="s">
        <v>712</v>
      </c>
      <c r="C24">
        <v>100000</v>
      </c>
    </row>
    <row r="25" spans="1:4">
      <c r="A25" t="s">
        <v>713</v>
      </c>
      <c r="C25">
        <v>171000</v>
      </c>
    </row>
    <row r="28" spans="1:4">
      <c r="A28" t="s">
        <v>640</v>
      </c>
      <c r="B28" s="31">
        <f>SUM(B4:B27)</f>
        <v>2351382.39</v>
      </c>
      <c r="C28" s="31">
        <f>SUM(C4:C27)</f>
        <v>737000</v>
      </c>
    </row>
    <row r="30" spans="1:4" s="26" customFormat="1" ht="15.75" customHeight="1">
      <c r="A30" s="26" t="s">
        <v>641</v>
      </c>
      <c r="B30" s="51">
        <f>B2-B28</f>
        <v>2617.7399999997579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K71"/>
  <sheetViews>
    <sheetView topLeftCell="A28" workbookViewId="0">
      <selection activeCell="G13" sqref="G13"/>
    </sheetView>
  </sheetViews>
  <sheetFormatPr defaultRowHeight="15.75"/>
  <cols>
    <col min="1" max="1" width="53.28515625" style="311" customWidth="1"/>
    <col min="2" max="2" width="22.140625" style="311" customWidth="1"/>
    <col min="3" max="3" width="22.140625" style="311" hidden="1" customWidth="1"/>
    <col min="4" max="4" width="10.7109375" style="309" hidden="1" customWidth="1"/>
    <col min="5" max="8" width="20.140625" style="312" customWidth="1"/>
    <col min="10" max="10" width="10" bestFit="1" customWidth="1"/>
    <col min="11" max="11" width="10.5703125" customWidth="1"/>
  </cols>
  <sheetData>
    <row r="2" spans="1:8" ht="23.25" customHeight="1">
      <c r="A2" s="617" t="s">
        <v>571</v>
      </c>
      <c r="B2" s="617"/>
      <c r="C2" s="618" t="s">
        <v>495</v>
      </c>
      <c r="D2" s="618"/>
      <c r="E2" s="421" t="s">
        <v>572</v>
      </c>
      <c r="F2" s="526" t="s">
        <v>614</v>
      </c>
      <c r="G2" s="582" t="s">
        <v>687</v>
      </c>
      <c r="H2" s="582" t="s">
        <v>714</v>
      </c>
    </row>
    <row r="3" spans="1:8">
      <c r="B3" s="313"/>
      <c r="C3" s="313"/>
      <c r="D3" s="314"/>
    </row>
    <row r="4" spans="1:8" s="256" customFormat="1" ht="21">
      <c r="A4" s="315" t="s">
        <v>482</v>
      </c>
      <c r="B4" s="287"/>
      <c r="C4" s="316"/>
      <c r="D4" s="309"/>
      <c r="E4" s="316">
        <f>E6+E22++E8+E36</f>
        <v>3600000</v>
      </c>
      <c r="F4" s="316">
        <f>F6+F22++F8+F36</f>
        <v>3900000</v>
      </c>
      <c r="G4" s="316">
        <f>G6+G22++G8+G36</f>
        <v>5026000</v>
      </c>
      <c r="H4" s="316">
        <f>H6+H22++H8+H36</f>
        <v>4891000</v>
      </c>
    </row>
    <row r="5" spans="1:8">
      <c r="A5" s="287"/>
      <c r="B5" s="287"/>
      <c r="C5" s="288"/>
      <c r="E5" s="288"/>
      <c r="F5" s="288"/>
      <c r="G5" s="288"/>
      <c r="H5" s="288"/>
    </row>
    <row r="6" spans="1:8" s="281" customFormat="1">
      <c r="A6" s="317" t="s">
        <v>311</v>
      </c>
      <c r="B6" s="317"/>
      <c r="C6" s="318"/>
      <c r="D6" s="319"/>
      <c r="E6" s="318">
        <v>200000</v>
      </c>
      <c r="F6" s="318">
        <v>200000</v>
      </c>
      <c r="G6" s="318">
        <v>230000</v>
      </c>
      <c r="H6" s="318">
        <v>230000</v>
      </c>
    </row>
    <row r="7" spans="1:8">
      <c r="A7" s="287"/>
      <c r="B7" s="287"/>
      <c r="C7" s="288"/>
      <c r="E7" s="288"/>
      <c r="F7" s="288"/>
      <c r="G7" s="288"/>
      <c r="H7" s="288"/>
    </row>
    <row r="8" spans="1:8" s="281" customFormat="1">
      <c r="A8" s="317" t="s">
        <v>312</v>
      </c>
      <c r="B8" s="317"/>
      <c r="C8" s="318"/>
      <c r="D8" s="319"/>
      <c r="E8" s="318">
        <f>SUM(E9:E19)</f>
        <v>1400000</v>
      </c>
      <c r="F8" s="318">
        <f>SUM(F9:F19)</f>
        <v>1600000</v>
      </c>
      <c r="G8" s="318">
        <f>SUM(G9:G21)</f>
        <v>1971000</v>
      </c>
      <c r="H8" s="318">
        <f>SUM(H9:H21)</f>
        <v>1971000</v>
      </c>
    </row>
    <row r="9" spans="1:8" s="26" customFormat="1">
      <c r="A9" s="610" t="s">
        <v>377</v>
      </c>
      <c r="B9" s="287" t="s">
        <v>474</v>
      </c>
      <c r="C9" s="614"/>
      <c r="D9" s="309"/>
      <c r="E9" s="613">
        <v>250000</v>
      </c>
      <c r="F9" s="613">
        <v>250000</v>
      </c>
      <c r="G9" s="613">
        <v>250000</v>
      </c>
      <c r="H9" s="613">
        <v>250000</v>
      </c>
    </row>
    <row r="10" spans="1:8" s="26" customFormat="1">
      <c r="A10" s="611"/>
      <c r="B10" s="287" t="s">
        <v>379</v>
      </c>
      <c r="C10" s="615"/>
      <c r="D10" s="309"/>
      <c r="E10" s="613"/>
      <c r="F10" s="613"/>
      <c r="G10" s="613"/>
      <c r="H10" s="613"/>
    </row>
    <row r="11" spans="1:8" s="26" customFormat="1">
      <c r="A11" s="611"/>
      <c r="B11" s="287" t="s">
        <v>476</v>
      </c>
      <c r="C11" s="615"/>
      <c r="D11" s="309"/>
      <c r="E11" s="613"/>
      <c r="F11" s="613"/>
      <c r="G11" s="613"/>
      <c r="H11" s="613"/>
    </row>
    <row r="12" spans="1:8" s="26" customFormat="1">
      <c r="A12" s="611"/>
      <c r="B12" s="287" t="s">
        <v>573</v>
      </c>
      <c r="C12" s="615"/>
      <c r="D12" s="309"/>
      <c r="E12" s="613"/>
      <c r="F12" s="613"/>
      <c r="G12" s="613"/>
      <c r="H12" s="613"/>
    </row>
    <row r="13" spans="1:8">
      <c r="A13" s="612"/>
      <c r="B13" s="287" t="s">
        <v>577</v>
      </c>
      <c r="C13" s="616"/>
      <c r="E13" s="613"/>
      <c r="F13" s="613"/>
      <c r="G13" s="613"/>
      <c r="H13" s="613"/>
    </row>
    <row r="14" spans="1:8">
      <c r="A14" s="320" t="s">
        <v>313</v>
      </c>
      <c r="B14" s="287"/>
      <c r="C14" s="321"/>
      <c r="E14" s="420">
        <v>300000</v>
      </c>
      <c r="F14" s="525">
        <v>300000</v>
      </c>
      <c r="G14" s="584">
        <v>300000</v>
      </c>
      <c r="H14" s="321">
        <v>300000</v>
      </c>
    </row>
    <row r="15" spans="1:8">
      <c r="A15" s="287" t="s">
        <v>314</v>
      </c>
      <c r="B15" s="287"/>
      <c r="C15" s="288"/>
      <c r="E15" s="288">
        <v>150000</v>
      </c>
      <c r="F15" s="288">
        <v>150000</v>
      </c>
      <c r="G15" s="288">
        <v>150000</v>
      </c>
      <c r="H15" s="288">
        <v>150000</v>
      </c>
    </row>
    <row r="16" spans="1:8">
      <c r="A16" s="287" t="s">
        <v>473</v>
      </c>
      <c r="B16" s="287"/>
      <c r="C16" s="288"/>
      <c r="E16" s="288">
        <v>100000</v>
      </c>
      <c r="F16" s="288">
        <v>100000</v>
      </c>
      <c r="G16" s="288">
        <v>100000</v>
      </c>
      <c r="H16" s="288">
        <v>100000</v>
      </c>
    </row>
    <row r="17" spans="1:8" ht="31.5">
      <c r="A17" s="287" t="s">
        <v>315</v>
      </c>
      <c r="B17" s="287"/>
      <c r="C17" s="288"/>
      <c r="E17" s="288">
        <v>300000</v>
      </c>
      <c r="F17" s="288">
        <v>500000</v>
      </c>
      <c r="G17" s="288">
        <v>500000</v>
      </c>
      <c r="H17" s="288">
        <v>500000</v>
      </c>
    </row>
    <row r="18" spans="1:8">
      <c r="A18" s="287" t="s">
        <v>477</v>
      </c>
      <c r="B18" s="287"/>
      <c r="C18" s="288"/>
      <c r="E18" s="288">
        <v>200000</v>
      </c>
      <c r="F18" s="288">
        <v>200000</v>
      </c>
      <c r="G18" s="288">
        <v>200000</v>
      </c>
      <c r="H18" s="288">
        <v>200000</v>
      </c>
    </row>
    <row r="19" spans="1:8">
      <c r="A19" s="287" t="s">
        <v>447</v>
      </c>
      <c r="B19" s="287"/>
      <c r="C19" s="288"/>
      <c r="E19" s="288">
        <v>100000</v>
      </c>
      <c r="F19" s="288">
        <v>100000</v>
      </c>
      <c r="G19" s="288">
        <v>100000</v>
      </c>
      <c r="H19" s="288">
        <v>100000</v>
      </c>
    </row>
    <row r="20" spans="1:8" ht="31.5">
      <c r="A20" s="154"/>
      <c r="B20" s="565" t="s">
        <v>717</v>
      </c>
      <c r="C20" s="288"/>
      <c r="E20" s="288"/>
      <c r="F20" s="288"/>
      <c r="G20" s="288">
        <f>пер.ост.!C25</f>
        <v>171000</v>
      </c>
      <c r="H20" s="288">
        <f>пер.ост.!C25</f>
        <v>171000</v>
      </c>
    </row>
    <row r="21" spans="1:8" ht="31.5">
      <c r="A21" s="154"/>
      <c r="B21" s="565" t="s">
        <v>716</v>
      </c>
      <c r="C21" s="288"/>
      <c r="E21" s="288"/>
      <c r="F21" s="288"/>
      <c r="G21" s="288">
        <v>200000</v>
      </c>
      <c r="H21" s="288">
        <v>200000</v>
      </c>
    </row>
    <row r="22" spans="1:8" s="281" customFormat="1">
      <c r="A22" s="317" t="s">
        <v>316</v>
      </c>
      <c r="B22" s="317"/>
      <c r="C22" s="322"/>
      <c r="D22" s="319"/>
      <c r="E22" s="322">
        <f>SUM(E24:E34)</f>
        <v>1200000</v>
      </c>
      <c r="F22" s="322">
        <f>SUM(F24:F34)</f>
        <v>1200000</v>
      </c>
      <c r="G22" s="322">
        <f>SUM(G24:G34)</f>
        <v>1495000</v>
      </c>
      <c r="H22" s="322">
        <f>SUM(H24:H34)</f>
        <v>1495000</v>
      </c>
    </row>
    <row r="23" spans="1:8">
      <c r="A23" s="610" t="s">
        <v>478</v>
      </c>
      <c r="B23" s="287"/>
      <c r="C23" s="323"/>
      <c r="E23" s="323">
        <f>SUM(E24:E28)</f>
        <v>850000</v>
      </c>
      <c r="F23" s="323">
        <f>SUM(F24:F28)</f>
        <v>850000</v>
      </c>
      <c r="G23" s="323">
        <f>SUM(G24:G28)</f>
        <v>850000</v>
      </c>
      <c r="H23" s="323">
        <f>SUM(H24:H28)</f>
        <v>850000</v>
      </c>
    </row>
    <row r="24" spans="1:8">
      <c r="A24" s="611"/>
      <c r="B24" s="287" t="s">
        <v>573</v>
      </c>
      <c r="C24" s="288"/>
      <c r="E24" s="288">
        <v>150000</v>
      </c>
      <c r="F24" s="288">
        <v>150000</v>
      </c>
      <c r="G24" s="288">
        <v>150000</v>
      </c>
      <c r="H24" s="288">
        <v>150000</v>
      </c>
    </row>
    <row r="25" spans="1:8">
      <c r="A25" s="611"/>
      <c r="B25" s="287" t="s">
        <v>378</v>
      </c>
      <c r="C25" s="288"/>
      <c r="E25" s="288">
        <v>150000</v>
      </c>
      <c r="F25" s="288">
        <v>150000</v>
      </c>
      <c r="G25" s="288">
        <v>150000</v>
      </c>
      <c r="H25" s="288">
        <v>150000</v>
      </c>
    </row>
    <row r="26" spans="1:8" ht="20.25" customHeight="1">
      <c r="A26" s="611"/>
      <c r="B26" s="287" t="s">
        <v>574</v>
      </c>
      <c r="C26" s="288"/>
      <c r="E26" s="288">
        <v>150000</v>
      </c>
      <c r="F26" s="288">
        <v>150000</v>
      </c>
      <c r="G26" s="288">
        <v>150000</v>
      </c>
      <c r="H26" s="288">
        <v>150000</v>
      </c>
    </row>
    <row r="27" spans="1:8">
      <c r="A27" s="611"/>
      <c r="B27" s="287" t="s">
        <v>575</v>
      </c>
      <c r="C27" s="288"/>
      <c r="E27" s="288">
        <v>200000</v>
      </c>
      <c r="F27" s="288">
        <v>200000</v>
      </c>
      <c r="G27" s="288">
        <v>200000</v>
      </c>
      <c r="H27" s="288">
        <v>200000</v>
      </c>
    </row>
    <row r="28" spans="1:8">
      <c r="A28" s="612"/>
      <c r="B28" s="287" t="s">
        <v>604</v>
      </c>
      <c r="C28" s="288"/>
      <c r="E28" s="288">
        <v>200000</v>
      </c>
      <c r="F28" s="288">
        <v>200000</v>
      </c>
      <c r="G28" s="288">
        <v>200000</v>
      </c>
      <c r="H28" s="288">
        <v>200000</v>
      </c>
    </row>
    <row r="29" spans="1:8" ht="31.5">
      <c r="A29" s="563"/>
      <c r="B29" s="565" t="s">
        <v>700</v>
      </c>
      <c r="C29" s="566"/>
      <c r="D29" s="567"/>
      <c r="E29" s="566"/>
      <c r="F29" s="566"/>
      <c r="G29" s="566">
        <v>124000</v>
      </c>
      <c r="H29" s="566">
        <v>124000</v>
      </c>
    </row>
    <row r="30" spans="1:8" ht="31.5">
      <c r="A30" s="564"/>
      <c r="B30" s="565" t="s">
        <v>694</v>
      </c>
      <c r="C30" s="566"/>
      <c r="D30" s="567"/>
      <c r="E30" s="566"/>
      <c r="F30" s="566"/>
      <c r="G30" s="566">
        <v>71000</v>
      </c>
      <c r="H30" s="566">
        <v>71000</v>
      </c>
    </row>
    <row r="31" spans="1:8" ht="31.5">
      <c r="A31" s="583"/>
      <c r="B31" s="565" t="s">
        <v>694</v>
      </c>
      <c r="C31" s="566"/>
      <c r="D31" s="567"/>
      <c r="E31" s="566"/>
      <c r="F31" s="566"/>
      <c r="G31" s="566">
        <f>пер.ост.!C24</f>
        <v>100000</v>
      </c>
      <c r="H31" s="566">
        <f>пер.ост.!C24</f>
        <v>100000</v>
      </c>
    </row>
    <row r="32" spans="1:8" ht="31.5">
      <c r="A32" s="287" t="s">
        <v>553</v>
      </c>
      <c r="B32" s="287"/>
      <c r="C32" s="288"/>
      <c r="E32" s="288">
        <v>50000</v>
      </c>
      <c r="F32" s="288">
        <v>50000</v>
      </c>
      <c r="G32" s="288">
        <v>50000</v>
      </c>
      <c r="H32" s="288">
        <v>50000</v>
      </c>
    </row>
    <row r="33" spans="1:11">
      <c r="A33" s="287" t="s">
        <v>576</v>
      </c>
      <c r="B33" s="287"/>
      <c r="C33" s="288"/>
      <c r="E33" s="288">
        <v>50000</v>
      </c>
      <c r="F33" s="288">
        <v>50000</v>
      </c>
      <c r="G33" s="288">
        <v>50000</v>
      </c>
      <c r="H33" s="288">
        <v>50000</v>
      </c>
    </row>
    <row r="34" spans="1:11">
      <c r="A34" s="287" t="s">
        <v>580</v>
      </c>
      <c r="B34" s="287"/>
      <c r="C34" s="288"/>
      <c r="E34" s="288">
        <v>250000</v>
      </c>
      <c r="F34" s="288">
        <v>250000</v>
      </c>
      <c r="G34" s="288">
        <v>250000</v>
      </c>
      <c r="H34" s="288">
        <v>250000</v>
      </c>
    </row>
    <row r="35" spans="1:11">
      <c r="A35" s="287"/>
      <c r="B35" s="287"/>
      <c r="C35" s="288"/>
      <c r="E35" s="288"/>
      <c r="F35" s="288"/>
      <c r="G35" s="288"/>
      <c r="H35" s="288"/>
    </row>
    <row r="36" spans="1:11" s="280" customFormat="1" ht="21">
      <c r="A36" s="315" t="s">
        <v>481</v>
      </c>
      <c r="B36" s="315"/>
      <c r="C36" s="316"/>
      <c r="D36" s="314"/>
      <c r="E36" s="316">
        <f>E38+E49+E53</f>
        <v>800000</v>
      </c>
      <c r="F36" s="316">
        <f>F38+F49+F53</f>
        <v>900000</v>
      </c>
      <c r="G36" s="316">
        <f>G38+G49+G53</f>
        <v>1330000</v>
      </c>
      <c r="H36" s="316">
        <f>H38+H49+H53</f>
        <v>1195000</v>
      </c>
    </row>
    <row r="37" spans="1:11" s="280" customFormat="1" ht="21">
      <c r="A37" s="324" t="s">
        <v>312</v>
      </c>
      <c r="B37" s="325"/>
      <c r="C37" s="326"/>
      <c r="D37" s="327"/>
      <c r="E37" s="326">
        <f>SUM(E39:E44)</f>
        <v>750000</v>
      </c>
      <c r="F37" s="326">
        <f>SUM(F39:F44)</f>
        <v>750000</v>
      </c>
      <c r="G37" s="326">
        <f>SUM(G39:G45)</f>
        <v>850000</v>
      </c>
      <c r="H37" s="326">
        <f>SUM(H39:H46)</f>
        <v>1071000</v>
      </c>
    </row>
    <row r="38" spans="1:11" s="281" customFormat="1">
      <c r="A38" s="328" t="s">
        <v>317</v>
      </c>
      <c r="B38" s="328"/>
      <c r="C38" s="329"/>
      <c r="D38" s="330"/>
      <c r="E38" s="329">
        <f>SUM(E39:E41)</f>
        <v>300000</v>
      </c>
      <c r="F38" s="329">
        <f>SUM(F39:F41)</f>
        <v>300000</v>
      </c>
      <c r="G38" s="329">
        <f>SUM(G39:G41)</f>
        <v>300000</v>
      </c>
      <c r="H38" s="329">
        <f>SUM(H39:H41)</f>
        <v>175000</v>
      </c>
    </row>
    <row r="39" spans="1:11" ht="18.75" customHeight="1">
      <c r="A39" s="403" t="s">
        <v>483</v>
      </c>
      <c r="B39" s="287" t="s">
        <v>318</v>
      </c>
      <c r="C39" s="288"/>
      <c r="E39" s="288">
        <v>100000</v>
      </c>
      <c r="F39" s="288">
        <v>100000</v>
      </c>
      <c r="G39" s="288">
        <v>100000</v>
      </c>
      <c r="H39" s="288">
        <v>0</v>
      </c>
    </row>
    <row r="40" spans="1:11" ht="18.75" customHeight="1">
      <c r="A40" s="410"/>
      <c r="B40" s="287" t="s">
        <v>577</v>
      </c>
      <c r="C40" s="288"/>
      <c r="E40" s="288">
        <v>100000</v>
      </c>
      <c r="F40" s="288">
        <v>100000</v>
      </c>
      <c r="G40" s="288">
        <v>100000</v>
      </c>
      <c r="H40" s="288">
        <v>0</v>
      </c>
    </row>
    <row r="41" spans="1:11" ht="18.75" customHeight="1">
      <c r="A41" s="404"/>
      <c r="B41" s="287" t="s">
        <v>380</v>
      </c>
      <c r="C41" s="288"/>
      <c r="E41" s="288">
        <v>100000</v>
      </c>
      <c r="F41" s="288">
        <v>100000</v>
      </c>
      <c r="G41" s="288">
        <v>100000</v>
      </c>
      <c r="H41" s="288">
        <v>175000</v>
      </c>
    </row>
    <row r="42" spans="1:11" ht="18.75" customHeight="1">
      <c r="A42" s="287" t="s">
        <v>578</v>
      </c>
      <c r="B42" s="287" t="s">
        <v>475</v>
      </c>
      <c r="C42" s="288"/>
      <c r="E42" s="288">
        <v>300000</v>
      </c>
      <c r="F42" s="288">
        <v>300000</v>
      </c>
      <c r="G42" s="288">
        <v>300000</v>
      </c>
      <c r="H42" s="288">
        <v>275000</v>
      </c>
    </row>
    <row r="43" spans="1:11">
      <c r="A43" s="287" t="s">
        <v>479</v>
      </c>
      <c r="B43" s="287"/>
      <c r="C43" s="288"/>
      <c r="E43" s="288">
        <v>50000</v>
      </c>
      <c r="F43" s="288">
        <v>50000</v>
      </c>
      <c r="G43" s="288">
        <v>50000</v>
      </c>
      <c r="H43" s="288">
        <v>47000</v>
      </c>
    </row>
    <row r="44" spans="1:11">
      <c r="A44" s="287" t="s">
        <v>381</v>
      </c>
      <c r="B44" s="287"/>
      <c r="C44" s="288"/>
      <c r="E44" s="288">
        <v>100000</v>
      </c>
      <c r="F44" s="288">
        <v>100000</v>
      </c>
      <c r="G44" s="288">
        <v>100000</v>
      </c>
      <c r="H44" s="288">
        <v>188000</v>
      </c>
      <c r="J44" s="31"/>
      <c r="K44" s="31"/>
    </row>
    <row r="45" spans="1:11" ht="31.5">
      <c r="A45" s="564"/>
      <c r="B45" s="565" t="s">
        <v>694</v>
      </c>
      <c r="C45" s="566"/>
      <c r="D45" s="567"/>
      <c r="E45" s="566"/>
      <c r="F45" s="566"/>
      <c r="G45" s="566">
        <v>100000</v>
      </c>
      <c r="H45" s="566">
        <v>100000</v>
      </c>
    </row>
    <row r="46" spans="1:11" ht="63">
      <c r="A46" s="583"/>
      <c r="B46" s="565" t="s">
        <v>718</v>
      </c>
      <c r="C46" s="566"/>
      <c r="D46" s="567"/>
      <c r="E46" s="566" t="s">
        <v>720</v>
      </c>
      <c r="F46" s="566"/>
      <c r="G46" s="566"/>
      <c r="H46" s="566">
        <v>286000</v>
      </c>
    </row>
    <row r="47" spans="1:11">
      <c r="A47" s="287"/>
      <c r="B47" s="287"/>
      <c r="C47" s="288"/>
      <c r="E47" s="288"/>
      <c r="F47" s="288"/>
      <c r="G47" s="288"/>
      <c r="H47" s="288"/>
    </row>
    <row r="48" spans="1:11">
      <c r="A48" s="324" t="s">
        <v>494</v>
      </c>
      <c r="B48" s="331"/>
      <c r="C48" s="332"/>
      <c r="D48" s="333"/>
      <c r="E48" s="332">
        <f>E49+E53</f>
        <v>500000</v>
      </c>
      <c r="F48" s="332">
        <f>F49+F53</f>
        <v>600000</v>
      </c>
      <c r="G48" s="332">
        <f>G49+G53</f>
        <v>1030000</v>
      </c>
      <c r="H48" s="332">
        <f>H49+H53</f>
        <v>1020000</v>
      </c>
    </row>
    <row r="49" spans="1:8" s="281" customFormat="1">
      <c r="A49" s="328" t="s">
        <v>319</v>
      </c>
      <c r="B49" s="328"/>
      <c r="C49" s="329"/>
      <c r="D49" s="330"/>
      <c r="E49" s="329">
        <f>SUM(E50:E51)</f>
        <v>100000</v>
      </c>
      <c r="F49" s="329">
        <f>SUM(F50:F51)</f>
        <v>100000</v>
      </c>
      <c r="G49" s="329">
        <f>SUM(G50:G51)</f>
        <v>100000</v>
      </c>
      <c r="H49" s="329">
        <f>SUM(H50:H51)</f>
        <v>100000</v>
      </c>
    </row>
    <row r="50" spans="1:8">
      <c r="A50" s="287" t="s">
        <v>581</v>
      </c>
      <c r="B50" s="287" t="s">
        <v>379</v>
      </c>
      <c r="C50" s="288"/>
      <c r="E50" s="288">
        <v>100000</v>
      </c>
      <c r="F50" s="288">
        <v>100000</v>
      </c>
      <c r="G50" s="288">
        <v>100000</v>
      </c>
      <c r="H50" s="288">
        <v>100000</v>
      </c>
    </row>
    <row r="51" spans="1:8">
      <c r="A51" s="287" t="s">
        <v>582</v>
      </c>
      <c r="B51" s="287" t="s">
        <v>475</v>
      </c>
      <c r="C51" s="288"/>
      <c r="E51" s="288"/>
      <c r="F51" s="288"/>
      <c r="G51" s="288"/>
      <c r="H51" s="288"/>
    </row>
    <row r="52" spans="1:8">
      <c r="A52" s="287"/>
      <c r="B52" s="287"/>
      <c r="C52" s="288"/>
      <c r="E52" s="288"/>
      <c r="F52" s="288"/>
      <c r="G52" s="288"/>
      <c r="H52" s="288"/>
    </row>
    <row r="53" spans="1:8" s="281" customFormat="1">
      <c r="A53" s="328" t="s">
        <v>480</v>
      </c>
      <c r="B53" s="328"/>
      <c r="C53" s="329"/>
      <c r="D53" s="330"/>
      <c r="E53" s="329">
        <f>SUM(E54:E62)</f>
        <v>400000</v>
      </c>
      <c r="F53" s="329">
        <f>SUM(F54:F62)</f>
        <v>500000</v>
      </c>
      <c r="G53" s="329">
        <f>SUM(G54:G62)</f>
        <v>930000</v>
      </c>
      <c r="H53" s="329">
        <f>SUM(H54:H62)</f>
        <v>920000</v>
      </c>
    </row>
    <row r="54" spans="1:8">
      <c r="A54" s="537" t="s">
        <v>609</v>
      </c>
      <c r="B54" s="287" t="s">
        <v>573</v>
      </c>
      <c r="C54" s="288"/>
      <c r="E54" s="288">
        <v>200000</v>
      </c>
      <c r="F54" s="288">
        <v>200000</v>
      </c>
      <c r="G54" s="538">
        <v>200000</v>
      </c>
      <c r="H54" s="538">
        <v>200000</v>
      </c>
    </row>
    <row r="55" spans="1:8" ht="31.5">
      <c r="A55" s="537" t="s">
        <v>653</v>
      </c>
      <c r="B55" s="287"/>
      <c r="C55" s="288"/>
      <c r="E55" s="288"/>
      <c r="F55" s="288"/>
      <c r="G55" s="288"/>
      <c r="H55" s="288"/>
    </row>
    <row r="56" spans="1:8">
      <c r="A56" s="287" t="s">
        <v>579</v>
      </c>
      <c r="B56" s="287"/>
      <c r="C56" s="288"/>
      <c r="E56" s="288">
        <v>100000</v>
      </c>
      <c r="F56" s="288">
        <v>100000</v>
      </c>
      <c r="G56" s="288">
        <v>100000</v>
      </c>
      <c r="H56" s="288">
        <v>100000</v>
      </c>
    </row>
    <row r="57" spans="1:8">
      <c r="A57" s="287" t="s">
        <v>668</v>
      </c>
      <c r="B57" s="287"/>
      <c r="C57" s="288"/>
      <c r="E57" s="288"/>
      <c r="F57" s="288"/>
      <c r="G57" s="288">
        <v>200000</v>
      </c>
      <c r="H57" s="288">
        <v>190000</v>
      </c>
    </row>
    <row r="58" spans="1:8">
      <c r="A58" s="287" t="s">
        <v>671</v>
      </c>
      <c r="B58" s="287"/>
      <c r="C58" s="288"/>
      <c r="E58" s="288"/>
      <c r="F58" s="288"/>
      <c r="G58" s="288">
        <v>100000</v>
      </c>
      <c r="H58" s="288">
        <v>100000</v>
      </c>
    </row>
    <row r="59" spans="1:8" ht="31.5">
      <c r="A59" s="565" t="s">
        <v>701</v>
      </c>
      <c r="B59" s="565" t="s">
        <v>694</v>
      </c>
      <c r="C59" s="566"/>
      <c r="D59" s="567"/>
      <c r="E59" s="566"/>
      <c r="F59" s="566"/>
      <c r="G59" s="566">
        <v>130000</v>
      </c>
      <c r="H59" s="566">
        <v>130000</v>
      </c>
    </row>
    <row r="60" spans="1:8">
      <c r="A60" s="571" t="s">
        <v>583</v>
      </c>
      <c r="B60" s="287"/>
      <c r="C60" s="288"/>
      <c r="E60" s="288">
        <v>100000</v>
      </c>
      <c r="F60" s="288">
        <v>100000</v>
      </c>
      <c r="G60" s="573">
        <v>100000</v>
      </c>
      <c r="H60" s="573">
        <v>100000</v>
      </c>
    </row>
    <row r="61" spans="1:8">
      <c r="A61" s="287" t="s">
        <v>615</v>
      </c>
      <c r="B61" s="287" t="s">
        <v>318</v>
      </c>
      <c r="C61" s="288"/>
      <c r="E61" s="288"/>
      <c r="F61" s="288">
        <v>100000</v>
      </c>
      <c r="G61" s="288">
        <v>100000</v>
      </c>
      <c r="H61" s="288">
        <v>100000</v>
      </c>
    </row>
    <row r="62" spans="1:8">
      <c r="A62" s="287"/>
      <c r="B62" s="287"/>
      <c r="C62" s="288"/>
      <c r="E62" s="288"/>
      <c r="F62" s="288"/>
      <c r="G62" s="288"/>
      <c r="H62" s="288"/>
    </row>
    <row r="63" spans="1:8">
      <c r="A63" s="578"/>
      <c r="B63" s="578" t="s">
        <v>706</v>
      </c>
      <c r="C63" s="579"/>
      <c r="D63" s="580"/>
      <c r="E63" s="579"/>
      <c r="F63" s="579"/>
      <c r="G63" s="579">
        <f>пер.ост.!B13</f>
        <v>120000</v>
      </c>
      <c r="H63" s="579">
        <f>пер.ост.!B13</f>
        <v>120000</v>
      </c>
    </row>
    <row r="64" spans="1:8" ht="31.5">
      <c r="A64" s="578"/>
      <c r="B64" s="565" t="s">
        <v>694</v>
      </c>
      <c r="C64" s="579"/>
      <c r="D64" s="580"/>
      <c r="E64" s="579"/>
      <c r="F64" s="579"/>
      <c r="G64" s="572">
        <f>пер.ост.!C22</f>
        <v>35000</v>
      </c>
      <c r="H64" s="572">
        <f>пер.ост.!C22</f>
        <v>35000</v>
      </c>
    </row>
    <row r="65" spans="1:8" s="307" customFormat="1" ht="31.5">
      <c r="A65" s="574" t="s">
        <v>496</v>
      </c>
      <c r="B65" s="574"/>
      <c r="C65" s="575"/>
      <c r="D65" s="576"/>
      <c r="E65" s="575">
        <f>50000</f>
        <v>50000</v>
      </c>
      <c r="F65" s="575">
        <v>50000</v>
      </c>
      <c r="G65" s="575">
        <f>50000+пер.ост.!B11</f>
        <v>150000</v>
      </c>
      <c r="H65" s="575">
        <f>50000+пер.ост.!B11</f>
        <v>150000</v>
      </c>
    </row>
    <row r="66" spans="1:8" s="307" customFormat="1" ht="31.5">
      <c r="A66" s="574" t="s">
        <v>497</v>
      </c>
      <c r="B66" s="574"/>
      <c r="C66" s="575"/>
      <c r="D66" s="576"/>
      <c r="E66" s="575">
        <v>300000</v>
      </c>
      <c r="F66" s="575">
        <v>300000</v>
      </c>
      <c r="G66" s="575">
        <v>300000</v>
      </c>
      <c r="H66" s="575">
        <v>300000</v>
      </c>
    </row>
    <row r="68" spans="1:8">
      <c r="A68" s="574" t="s">
        <v>654</v>
      </c>
      <c r="B68" s="574"/>
      <c r="C68" s="575"/>
      <c r="D68" s="576"/>
      <c r="E68" s="575"/>
      <c r="F68" s="575"/>
      <c r="G68" s="575">
        <v>888434.39</v>
      </c>
      <c r="H68" s="575">
        <v>888434.39</v>
      </c>
    </row>
    <row r="70" spans="1:8" ht="31.5">
      <c r="G70" s="312" t="s">
        <v>715</v>
      </c>
      <c r="H70" s="312">
        <v>46000</v>
      </c>
    </row>
    <row r="71" spans="1:8" ht="126">
      <c r="G71" s="312" t="s">
        <v>719</v>
      </c>
      <c r="H71" s="312">
        <f>H60+H63+H64</f>
        <v>255000</v>
      </c>
    </row>
  </sheetData>
  <mergeCells count="9">
    <mergeCell ref="A23:A28"/>
    <mergeCell ref="A9:A13"/>
    <mergeCell ref="H9:H13"/>
    <mergeCell ref="C9:C13"/>
    <mergeCell ref="A2:B2"/>
    <mergeCell ref="C2:D2"/>
    <mergeCell ref="E9:E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77"/>
  <sheetViews>
    <sheetView topLeftCell="A67" workbookViewId="0">
      <selection activeCell="G13" sqref="G13"/>
    </sheetView>
  </sheetViews>
  <sheetFormatPr defaultRowHeight="15.75"/>
  <cols>
    <col min="1" max="1" width="76.140625" style="77" customWidth="1"/>
    <col min="2" max="2" width="17" style="83" hidden="1" customWidth="1"/>
    <col min="3" max="3" width="12.7109375" style="33" hidden="1" customWidth="1"/>
    <col min="4" max="4" width="18.28515625" style="285" hidden="1" customWidth="1"/>
    <col min="5" max="5" width="17.7109375" style="33" customWidth="1"/>
    <col min="6" max="6" width="17.28515625" customWidth="1"/>
    <col min="7" max="7" width="19.42578125" customWidth="1"/>
    <col min="8" max="8" width="15.140625" style="117" customWidth="1"/>
    <col min="9" max="9" width="11.140625" style="205" customWidth="1"/>
    <col min="10" max="10" width="0" hidden="1" customWidth="1"/>
    <col min="11" max="11" width="13.28515625" hidden="1" customWidth="1"/>
    <col min="12" max="12" width="15.5703125" customWidth="1"/>
    <col min="16" max="16" width="15.7109375" bestFit="1" customWidth="1"/>
  </cols>
  <sheetData>
    <row r="1" spans="1:12">
      <c r="B1" s="82"/>
      <c r="C1" s="78"/>
      <c r="D1" s="282"/>
      <c r="E1" s="78"/>
    </row>
    <row r="2" spans="1:12" ht="52.5" customHeight="1">
      <c r="A2" s="589" t="s">
        <v>612</v>
      </c>
      <c r="B2" s="589"/>
      <c r="C2" s="589"/>
      <c r="D2" s="589"/>
      <c r="E2" s="589"/>
      <c r="F2" s="589"/>
      <c r="G2" s="589"/>
      <c r="H2" s="416"/>
    </row>
    <row r="3" spans="1:12">
      <c r="A3" s="77" t="s">
        <v>484</v>
      </c>
    </row>
    <row r="4" spans="1:12" ht="78.75" customHeight="1">
      <c r="A4" s="622"/>
      <c r="B4" s="47" t="s">
        <v>64</v>
      </c>
      <c r="C4" s="624" t="s">
        <v>65</v>
      </c>
      <c r="D4" s="620" t="s">
        <v>608</v>
      </c>
      <c r="E4" s="619" t="s">
        <v>42</v>
      </c>
      <c r="F4" s="619"/>
      <c r="G4" s="619"/>
    </row>
    <row r="5" spans="1:12">
      <c r="A5" s="623"/>
      <c r="B5" s="47"/>
      <c r="C5" s="625"/>
      <c r="D5" s="621"/>
      <c r="E5" s="413" t="s">
        <v>382</v>
      </c>
      <c r="F5" s="116" t="s">
        <v>471</v>
      </c>
      <c r="G5" s="116" t="s">
        <v>584</v>
      </c>
    </row>
    <row r="6" spans="1:12" ht="31.5">
      <c r="A6" s="38" t="s">
        <v>455</v>
      </c>
      <c r="B6" s="47" t="s">
        <v>201</v>
      </c>
      <c r="C6" s="159"/>
      <c r="D6" s="283">
        <f>D7+D28+D35+D48</f>
        <v>25073129.140000001</v>
      </c>
      <c r="E6" s="101">
        <f>E7+E28+E35+E48</f>
        <v>28628508.289999999</v>
      </c>
      <c r="F6" s="101">
        <f>F7+F28+F35+F48</f>
        <v>17905000</v>
      </c>
      <c r="G6" s="101">
        <f>G7+G28+G35+G48</f>
        <v>11536900</v>
      </c>
      <c r="H6" s="117">
        <f t="shared" ref="H6:H27" si="0">E6+F6+G6</f>
        <v>58070408.289999999</v>
      </c>
      <c r="K6" s="20">
        <f>F6-'Пр. 4'!D23</f>
        <v>-330000</v>
      </c>
      <c r="L6" s="20"/>
    </row>
    <row r="7" spans="1:12" s="25" customFormat="1" ht="56.25">
      <c r="A7" s="65" t="s">
        <v>454</v>
      </c>
      <c r="B7" s="47" t="s">
        <v>270</v>
      </c>
      <c r="C7" s="159"/>
      <c r="D7" s="283">
        <f>D8+D13+D16+D19+D21+D23</f>
        <v>8212327.2800000003</v>
      </c>
      <c r="E7" s="101">
        <f>E8+E13+E16+E19+E21+E23+E26</f>
        <v>9464411</v>
      </c>
      <c r="F7" s="101">
        <f>F8+F13+F16+F19+F21+F23</f>
        <v>7659858.4000000004</v>
      </c>
      <c r="G7" s="101">
        <f>G8+G13+G16+G19+G21+G23</f>
        <v>6001818.4000000004</v>
      </c>
      <c r="H7" s="117">
        <f t="shared" si="0"/>
        <v>23126087.799999997</v>
      </c>
      <c r="I7" s="290"/>
    </row>
    <row r="8" spans="1:12" ht="31.5">
      <c r="A8" s="38" t="s">
        <v>263</v>
      </c>
      <c r="B8" s="47" t="s">
        <v>337</v>
      </c>
      <c r="C8" s="159"/>
      <c r="D8" s="283">
        <f>SUM(D9:D12)</f>
        <v>5769000</v>
      </c>
      <c r="E8" s="101">
        <f>SUM(E9:E12)</f>
        <v>6326000</v>
      </c>
      <c r="F8" s="101">
        <f>SUM(F9:F12)</f>
        <v>6007000</v>
      </c>
      <c r="G8" s="101">
        <f>SUM(G9:G12)</f>
        <v>4381182.4000000004</v>
      </c>
      <c r="H8" s="117">
        <f t="shared" si="0"/>
        <v>16714182.4</v>
      </c>
    </row>
    <row r="9" spans="1:12" s="30" customFormat="1" ht="78.75">
      <c r="A9" s="49" t="s">
        <v>207</v>
      </c>
      <c r="B9" s="45" t="s">
        <v>271</v>
      </c>
      <c r="C9" s="46">
        <v>100</v>
      </c>
      <c r="D9" s="258">
        <v>937000</v>
      </c>
      <c r="E9" s="103">
        <f>'Пр. 7'!G15</f>
        <v>1091000</v>
      </c>
      <c r="F9" s="103">
        <f>Пр.8!G15</f>
        <v>1042000</v>
      </c>
      <c r="G9" s="103">
        <f>Пр.8!H15</f>
        <v>1000000</v>
      </c>
      <c r="H9" s="163">
        <f t="shared" si="0"/>
        <v>3133000</v>
      </c>
      <c r="I9" s="291"/>
    </row>
    <row r="10" spans="1:12" s="30" customFormat="1" ht="78.75">
      <c r="A10" s="49" t="s">
        <v>208</v>
      </c>
      <c r="B10" s="45" t="s">
        <v>272</v>
      </c>
      <c r="C10" s="46">
        <v>100</v>
      </c>
      <c r="D10" s="258">
        <v>3392000</v>
      </c>
      <c r="E10" s="103">
        <f>'Пр. 7'!G18</f>
        <v>3930000</v>
      </c>
      <c r="F10" s="103">
        <f>Пр.8!G18</f>
        <v>3745000</v>
      </c>
      <c r="G10" s="103">
        <f>Пр.8!H18</f>
        <v>2700000</v>
      </c>
      <c r="H10" s="163">
        <f t="shared" si="0"/>
        <v>10375000</v>
      </c>
      <c r="I10" s="291"/>
    </row>
    <row r="11" spans="1:12" s="30" customFormat="1" ht="31.5">
      <c r="A11" s="49" t="s">
        <v>502</v>
      </c>
      <c r="B11" s="45" t="s">
        <v>272</v>
      </c>
      <c r="C11" s="46">
        <v>200</v>
      </c>
      <c r="D11" s="258">
        <v>1400000</v>
      </c>
      <c r="E11" s="103">
        <f>'Пр. 7'!G19</f>
        <v>1280000</v>
      </c>
      <c r="F11" s="103">
        <f>Пр.8!G19</f>
        <v>1200000</v>
      </c>
      <c r="G11" s="103">
        <f>Пр.8!H19</f>
        <v>661182.4</v>
      </c>
      <c r="H11" s="163">
        <f t="shared" si="0"/>
        <v>3141182.4</v>
      </c>
      <c r="I11" s="291"/>
    </row>
    <row r="12" spans="1:12" s="30" customFormat="1" ht="31.5">
      <c r="A12" s="49" t="s">
        <v>209</v>
      </c>
      <c r="B12" s="45" t="s">
        <v>272</v>
      </c>
      <c r="C12" s="46">
        <v>800</v>
      </c>
      <c r="D12" s="258">
        <v>40000</v>
      </c>
      <c r="E12" s="103">
        <f>'Пр. 7'!G20</f>
        <v>25000</v>
      </c>
      <c r="F12" s="103">
        <f>Пр.8!G20</f>
        <v>20000</v>
      </c>
      <c r="G12" s="103">
        <f>Пр.8!H20</f>
        <v>20000</v>
      </c>
      <c r="H12" s="163">
        <f t="shared" si="0"/>
        <v>65000</v>
      </c>
      <c r="I12" s="291"/>
    </row>
    <row r="13" spans="1:12" ht="31.5">
      <c r="A13" s="38" t="s">
        <v>264</v>
      </c>
      <c r="B13" s="47" t="s">
        <v>338</v>
      </c>
      <c r="C13" s="159"/>
      <c r="D13" s="283">
        <f>SUM(D14:D15)</f>
        <v>57700</v>
      </c>
      <c r="E13" s="101">
        <f>SUM(E14:E15)</f>
        <v>110000</v>
      </c>
      <c r="F13" s="101">
        <f>SUM(F14:F15)</f>
        <v>3131.12</v>
      </c>
      <c r="G13" s="101">
        <f>SUM(G14:G15)</f>
        <v>0</v>
      </c>
      <c r="H13" s="117">
        <f t="shared" si="0"/>
        <v>113131.12</v>
      </c>
    </row>
    <row r="14" spans="1:12" s="30" customFormat="1" ht="63">
      <c r="A14" s="49" t="s">
        <v>503</v>
      </c>
      <c r="B14" s="45" t="s">
        <v>273</v>
      </c>
      <c r="C14" s="46">
        <v>200</v>
      </c>
      <c r="D14" s="258">
        <v>53200</v>
      </c>
      <c r="E14" s="103">
        <f>'Пр. 7'!G26</f>
        <v>50000</v>
      </c>
      <c r="F14" s="103">
        <f>Пр.8!G26</f>
        <v>2131.12</v>
      </c>
      <c r="G14" s="103">
        <f>Пр.8!H26</f>
        <v>0</v>
      </c>
      <c r="H14" s="163">
        <f t="shared" si="0"/>
        <v>52131.12</v>
      </c>
      <c r="I14" s="291"/>
    </row>
    <row r="15" spans="1:12" s="30" customFormat="1" ht="47.25">
      <c r="A15" s="49" t="s">
        <v>504</v>
      </c>
      <c r="B15" s="45" t="s">
        <v>274</v>
      </c>
      <c r="C15" s="46">
        <v>200</v>
      </c>
      <c r="D15" s="258">
        <v>4500</v>
      </c>
      <c r="E15" s="103">
        <f>'Пр. 7'!G27</f>
        <v>60000</v>
      </c>
      <c r="F15" s="103">
        <f>Пр.8!G27</f>
        <v>1000</v>
      </c>
      <c r="G15" s="103">
        <f>Пр.8!H27</f>
        <v>0</v>
      </c>
      <c r="H15" s="163">
        <f t="shared" si="0"/>
        <v>61000</v>
      </c>
      <c r="I15" s="291"/>
    </row>
    <row r="16" spans="1:12" ht="31.5">
      <c r="A16" s="38" t="s">
        <v>265</v>
      </c>
      <c r="B16" s="47" t="s">
        <v>339</v>
      </c>
      <c r="C16" s="159"/>
      <c r="D16" s="283">
        <f>D17+D18</f>
        <v>232400</v>
      </c>
      <c r="E16" s="101">
        <f>E17+E18</f>
        <v>252675</v>
      </c>
      <c r="F16" s="101">
        <f>F17+F18</f>
        <v>246500</v>
      </c>
      <c r="G16" s="101">
        <f>G17+G18</f>
        <v>254900</v>
      </c>
      <c r="H16" s="117">
        <f t="shared" si="0"/>
        <v>754075</v>
      </c>
    </row>
    <row r="17" spans="1:9" s="30" customFormat="1" ht="78.75">
      <c r="A17" s="49" t="s">
        <v>211</v>
      </c>
      <c r="B17" s="45" t="s">
        <v>275</v>
      </c>
      <c r="C17" s="46">
        <v>100</v>
      </c>
      <c r="D17" s="258">
        <v>190000</v>
      </c>
      <c r="E17" s="103">
        <f>'Пр. 7'!G32</f>
        <v>221000</v>
      </c>
      <c r="F17" s="103">
        <f>Пр.8!G30</f>
        <v>221000</v>
      </c>
      <c r="G17" s="103">
        <f>Пр.8!H30</f>
        <v>221000</v>
      </c>
      <c r="H17" s="163">
        <f t="shared" si="0"/>
        <v>663000</v>
      </c>
      <c r="I17" s="291"/>
    </row>
    <row r="18" spans="1:9" s="30" customFormat="1" ht="47.25">
      <c r="A18" s="49" t="s">
        <v>505</v>
      </c>
      <c r="B18" s="45" t="s">
        <v>275</v>
      </c>
      <c r="C18" s="46">
        <v>200</v>
      </c>
      <c r="D18" s="258">
        <v>42400</v>
      </c>
      <c r="E18" s="103">
        <f>'Пр. 7'!G33</f>
        <v>31675</v>
      </c>
      <c r="F18" s="103">
        <f>Пр.8!G31</f>
        <v>25500</v>
      </c>
      <c r="G18" s="103">
        <f>Пр.8!H31</f>
        <v>33900</v>
      </c>
      <c r="H18" s="163">
        <f t="shared" si="0"/>
        <v>91075</v>
      </c>
      <c r="I18" s="291"/>
    </row>
    <row r="19" spans="1:9" ht="31.5">
      <c r="A19" s="38" t="s">
        <v>266</v>
      </c>
      <c r="B19" s="47" t="s">
        <v>340</v>
      </c>
      <c r="C19" s="159"/>
      <c r="D19" s="283">
        <f>D20</f>
        <v>27491.279999999999</v>
      </c>
      <c r="E19" s="101">
        <f>E20</f>
        <v>0</v>
      </c>
      <c r="F19" s="101">
        <f>F20</f>
        <v>27491.279999999999</v>
      </c>
      <c r="G19" s="101">
        <f>G20</f>
        <v>0</v>
      </c>
      <c r="H19" s="117">
        <f t="shared" si="0"/>
        <v>27491.279999999999</v>
      </c>
    </row>
    <row r="20" spans="1:9" s="30" customFormat="1" ht="63">
      <c r="A20" s="49" t="s">
        <v>210</v>
      </c>
      <c r="B20" s="45" t="s">
        <v>276</v>
      </c>
      <c r="C20" s="46">
        <v>500</v>
      </c>
      <c r="D20" s="258">
        <v>27491.279999999999</v>
      </c>
      <c r="E20" s="103">
        <f>безвозм.пост.!C68</f>
        <v>0</v>
      </c>
      <c r="F20" s="103">
        <f>Пр.8!G22</f>
        <v>27491.279999999999</v>
      </c>
      <c r="G20" s="103">
        <f>безвозм.пост.!E68</f>
        <v>0</v>
      </c>
      <c r="H20" s="163">
        <f t="shared" si="0"/>
        <v>27491.279999999999</v>
      </c>
      <c r="I20" s="291"/>
    </row>
    <row r="21" spans="1:9" ht="37.5" customHeight="1">
      <c r="A21" s="38" t="s">
        <v>267</v>
      </c>
      <c r="B21" s="47" t="s">
        <v>341</v>
      </c>
      <c r="C21" s="159"/>
      <c r="D21" s="283">
        <f>D22</f>
        <v>230000</v>
      </c>
      <c r="E21" s="101">
        <f>E22</f>
        <v>230000</v>
      </c>
      <c r="F21" s="101">
        <f>F22</f>
        <v>230000</v>
      </c>
      <c r="G21" s="101">
        <f>G22</f>
        <v>220000</v>
      </c>
      <c r="H21" s="117">
        <f t="shared" si="0"/>
        <v>680000</v>
      </c>
    </row>
    <row r="22" spans="1:9" s="30" customFormat="1" ht="47.25">
      <c r="A22" s="49" t="s">
        <v>212</v>
      </c>
      <c r="B22" s="96" t="s">
        <v>300</v>
      </c>
      <c r="C22" s="46">
        <v>300</v>
      </c>
      <c r="D22" s="258">
        <v>230000</v>
      </c>
      <c r="E22" s="103">
        <f>'Пр. 7'!G64</f>
        <v>230000</v>
      </c>
      <c r="F22" s="103">
        <f>Пр.8!G52</f>
        <v>230000</v>
      </c>
      <c r="G22" s="103">
        <f>Пр.8!H52</f>
        <v>220000</v>
      </c>
      <c r="H22" s="163">
        <f t="shared" si="0"/>
        <v>680000</v>
      </c>
      <c r="I22" s="291"/>
    </row>
    <row r="23" spans="1:9" ht="31.5">
      <c r="A23" s="38" t="s">
        <v>268</v>
      </c>
      <c r="B23" s="47" t="s">
        <v>342</v>
      </c>
      <c r="C23" s="159"/>
      <c r="D23" s="283">
        <f>D24+D25</f>
        <v>1895736</v>
      </c>
      <c r="E23" s="101">
        <f>E24+E25</f>
        <v>2445736</v>
      </c>
      <c r="F23" s="101">
        <f>F24+F25</f>
        <v>1145736</v>
      </c>
      <c r="G23" s="101">
        <f>G24+G25</f>
        <v>1145736</v>
      </c>
      <c r="H23" s="117">
        <f t="shared" si="0"/>
        <v>4737208</v>
      </c>
    </row>
    <row r="24" spans="1:9" s="30" customFormat="1" ht="94.5">
      <c r="A24" s="67" t="s">
        <v>260</v>
      </c>
      <c r="B24" s="45" t="s">
        <v>277</v>
      </c>
      <c r="C24" s="46">
        <v>200</v>
      </c>
      <c r="D24" s="258">
        <v>957005</v>
      </c>
      <c r="E24" s="103">
        <f>'Пр. 7'!G45</f>
        <v>1507005</v>
      </c>
      <c r="F24" s="103">
        <f>Пр.8!G38</f>
        <v>450000</v>
      </c>
      <c r="G24" s="103">
        <f>Пр.8!H38</f>
        <v>357005</v>
      </c>
      <c r="H24" s="163">
        <f t="shared" si="0"/>
        <v>2314010</v>
      </c>
      <c r="I24" s="291"/>
    </row>
    <row r="25" spans="1:9" s="25" customFormat="1" ht="47.25">
      <c r="A25" s="67" t="s">
        <v>256</v>
      </c>
      <c r="B25" s="45" t="s">
        <v>278</v>
      </c>
      <c r="C25" s="46">
        <v>200</v>
      </c>
      <c r="D25" s="258">
        <v>938731</v>
      </c>
      <c r="E25" s="103">
        <f>'Пр. 7'!G46</f>
        <v>938731</v>
      </c>
      <c r="F25" s="103">
        <f>Пр.8!G39</f>
        <v>695736</v>
      </c>
      <c r="G25" s="103">
        <f>Пр.8!H39</f>
        <v>788731</v>
      </c>
      <c r="H25" s="163">
        <f t="shared" si="0"/>
        <v>2423198</v>
      </c>
      <c r="I25" s="290"/>
    </row>
    <row r="26" spans="1:9" s="88" customFormat="1" ht="31.5">
      <c r="A26" s="38" t="s">
        <v>491</v>
      </c>
      <c r="B26" s="47" t="s">
        <v>492</v>
      </c>
      <c r="C26" s="101"/>
      <c r="D26" s="296">
        <f>D27</f>
        <v>0</v>
      </c>
      <c r="E26" s="101">
        <f>E27</f>
        <v>100000</v>
      </c>
      <c r="F26" s="101"/>
      <c r="G26" s="101"/>
      <c r="H26" s="117"/>
      <c r="I26" s="339"/>
    </row>
    <row r="27" spans="1:9" s="25" customFormat="1" ht="63">
      <c r="A27" s="67" t="s">
        <v>506</v>
      </c>
      <c r="B27" s="45" t="s">
        <v>490</v>
      </c>
      <c r="C27" s="297">
        <v>200</v>
      </c>
      <c r="D27" s="104">
        <v>0</v>
      </c>
      <c r="E27" s="103">
        <f>'Пр. 5 '!E34</f>
        <v>100000</v>
      </c>
      <c r="F27" s="103"/>
      <c r="G27" s="103"/>
      <c r="H27" s="163">
        <f t="shared" si="0"/>
        <v>100000</v>
      </c>
      <c r="I27" s="290"/>
    </row>
    <row r="28" spans="1:9" ht="56.25">
      <c r="A28" s="65" t="s">
        <v>456</v>
      </c>
      <c r="B28" s="47" t="s">
        <v>281</v>
      </c>
      <c r="C28" s="159"/>
      <c r="D28" s="283">
        <f>D29+D31</f>
        <v>1050000</v>
      </c>
      <c r="E28" s="101">
        <f>E29+E31+E33</f>
        <v>1595000</v>
      </c>
      <c r="F28" s="101">
        <f>F29+F31+F33</f>
        <v>1300000</v>
      </c>
      <c r="G28" s="101">
        <f>G29+G31+G33</f>
        <v>100000</v>
      </c>
      <c r="H28" s="117">
        <f t="shared" ref="H28:H42" si="1">E28+F28+G28</f>
        <v>2995000</v>
      </c>
      <c r="I28" s="290"/>
    </row>
    <row r="29" spans="1:9" s="30" customFormat="1">
      <c r="A29" s="38" t="s">
        <v>307</v>
      </c>
      <c r="B29" s="47" t="s">
        <v>279</v>
      </c>
      <c r="C29" s="159"/>
      <c r="D29" s="283">
        <f>D30</f>
        <v>950000</v>
      </c>
      <c r="E29" s="101">
        <f>E30</f>
        <v>1495000</v>
      </c>
      <c r="F29" s="101">
        <f>F30</f>
        <v>1200000</v>
      </c>
      <c r="G29" s="101">
        <f>G30</f>
        <v>0</v>
      </c>
      <c r="H29" s="117">
        <f t="shared" si="1"/>
        <v>2695000</v>
      </c>
      <c r="I29" s="291"/>
    </row>
    <row r="30" spans="1:9" s="30" customFormat="1" ht="48" thickBot="1">
      <c r="A30" s="48" t="s">
        <v>507</v>
      </c>
      <c r="B30" s="92" t="s">
        <v>280</v>
      </c>
      <c r="C30" s="93">
        <v>200</v>
      </c>
      <c r="D30" s="258">
        <v>950000</v>
      </c>
      <c r="E30" s="103">
        <f>'Пр. 7'!G36</f>
        <v>1495000</v>
      </c>
      <c r="F30" s="103">
        <f>Пр.8!G34</f>
        <v>1200000</v>
      </c>
      <c r="G30" s="103">
        <f>Пр.8!H34</f>
        <v>0</v>
      </c>
      <c r="H30" s="163">
        <f t="shared" si="1"/>
        <v>2695000</v>
      </c>
      <c r="I30" s="291"/>
    </row>
    <row r="31" spans="1:9" s="30" customFormat="1">
      <c r="A31" s="38" t="s">
        <v>308</v>
      </c>
      <c r="B31" s="47" t="s">
        <v>309</v>
      </c>
      <c r="C31" s="159"/>
      <c r="D31" s="283">
        <f>D32</f>
        <v>100000</v>
      </c>
      <c r="E31" s="101">
        <f>E32</f>
        <v>100000</v>
      </c>
      <c r="F31" s="101">
        <f>F32</f>
        <v>100000</v>
      </c>
      <c r="G31" s="101">
        <f>G32</f>
        <v>100000</v>
      </c>
      <c r="H31" s="117">
        <f t="shared" si="1"/>
        <v>300000</v>
      </c>
      <c r="I31" s="291"/>
    </row>
    <row r="32" spans="1:9" s="30" customFormat="1" ht="63">
      <c r="A32" s="49" t="s">
        <v>310</v>
      </c>
      <c r="B32" s="45" t="s">
        <v>305</v>
      </c>
      <c r="C32" s="46">
        <v>800</v>
      </c>
      <c r="D32" s="258">
        <v>100000</v>
      </c>
      <c r="E32" s="103">
        <f>'Пр. 7'!G24</f>
        <v>100000</v>
      </c>
      <c r="F32" s="103">
        <f>Пр.8!G24</f>
        <v>100000</v>
      </c>
      <c r="G32" s="103">
        <f>Пр.8!H24</f>
        <v>100000</v>
      </c>
      <c r="H32" s="163">
        <f t="shared" si="1"/>
        <v>300000</v>
      </c>
      <c r="I32" s="291"/>
    </row>
    <row r="33" spans="1:9" s="26" customFormat="1">
      <c r="A33" s="38" t="s">
        <v>535</v>
      </c>
      <c r="B33" s="47" t="s">
        <v>309</v>
      </c>
      <c r="C33" s="47"/>
      <c r="D33" s="353"/>
      <c r="E33" s="101">
        <f>E34</f>
        <v>0</v>
      </c>
      <c r="F33" s="354"/>
      <c r="G33" s="354"/>
      <c r="H33" s="117">
        <f t="shared" si="1"/>
        <v>0</v>
      </c>
    </row>
    <row r="34" spans="1:9" s="30" customFormat="1" ht="31.5">
      <c r="A34" s="167" t="s">
        <v>534</v>
      </c>
      <c r="B34" s="45" t="s">
        <v>530</v>
      </c>
      <c r="C34" s="45"/>
      <c r="D34" s="352"/>
      <c r="E34" s="102">
        <f>'Пр. 7'!G38</f>
        <v>0</v>
      </c>
      <c r="F34" s="355"/>
      <c r="G34" s="355"/>
    </row>
    <row r="35" spans="1:9" s="26" customFormat="1" ht="56.25">
      <c r="A35" s="65" t="s">
        <v>457</v>
      </c>
      <c r="B35" s="64" t="s">
        <v>282</v>
      </c>
      <c r="C35" s="66"/>
      <c r="D35" s="283">
        <f>D36+D40+D42+D44+D46</f>
        <v>5783981</v>
      </c>
      <c r="E35" s="283">
        <f>E36+E40+E42+E44+E46</f>
        <v>5906728</v>
      </c>
      <c r="F35" s="283">
        <f>F36+F40+F42+F44+F46</f>
        <v>2267781</v>
      </c>
      <c r="G35" s="283">
        <f>G36+G40+G42+G44+G46</f>
        <v>867781</v>
      </c>
      <c r="H35" s="117">
        <f t="shared" si="1"/>
        <v>9042290</v>
      </c>
      <c r="I35" s="290"/>
    </row>
    <row r="36" spans="1:9" s="30" customFormat="1">
      <c r="A36" s="38" t="s">
        <v>202</v>
      </c>
      <c r="B36" s="47" t="s">
        <v>283</v>
      </c>
      <c r="C36" s="159"/>
      <c r="D36" s="283">
        <f>SUM(D37:D39)</f>
        <v>2472781</v>
      </c>
      <c r="E36" s="283">
        <f>SUM(E37:E39)</f>
        <v>2616228</v>
      </c>
      <c r="F36" s="283">
        <f>SUM(F37:F39)</f>
        <v>522781</v>
      </c>
      <c r="G36" s="283">
        <f>SUM(G37:G39)</f>
        <v>322781</v>
      </c>
      <c r="H36" s="117">
        <f t="shared" si="1"/>
        <v>3461790</v>
      </c>
      <c r="I36" s="291"/>
    </row>
    <row r="37" spans="1:9" s="25" customFormat="1" ht="57.75" customHeight="1">
      <c r="A37" s="49" t="s">
        <v>508</v>
      </c>
      <c r="B37" s="45" t="s">
        <v>284</v>
      </c>
      <c r="C37" s="46">
        <v>200</v>
      </c>
      <c r="D37" s="258">
        <v>200000</v>
      </c>
      <c r="E37" s="103">
        <f>'Пр. 7'!G58</f>
        <v>230000</v>
      </c>
      <c r="F37" s="103">
        <f>Пр.8!G48</f>
        <v>200000</v>
      </c>
      <c r="G37" s="103">
        <f>Пр.8!H48</f>
        <v>0</v>
      </c>
      <c r="H37" s="163">
        <f t="shared" si="1"/>
        <v>430000</v>
      </c>
      <c r="I37" s="290"/>
    </row>
    <row r="38" spans="1:9" s="30" customFormat="1" ht="94.5">
      <c r="A38" s="167" t="s">
        <v>509</v>
      </c>
      <c r="B38" s="45" t="s">
        <v>460</v>
      </c>
      <c r="C38" s="245">
        <v>200</v>
      </c>
      <c r="D38" s="261">
        <v>472781</v>
      </c>
      <c r="E38" s="104">
        <f>'Пр. 5 '!E50</f>
        <v>652781</v>
      </c>
      <c r="F38" s="104">
        <f>'Пр. 6'!E42</f>
        <v>322781</v>
      </c>
      <c r="G38" s="104">
        <f>'Пр. 6'!F42</f>
        <v>322781</v>
      </c>
      <c r="H38" s="163">
        <f t="shared" si="1"/>
        <v>1298343</v>
      </c>
      <c r="I38" s="291"/>
    </row>
    <row r="39" spans="1:9" s="30" customFormat="1" ht="78.75">
      <c r="A39" s="259" t="s">
        <v>510</v>
      </c>
      <c r="B39" s="91" t="s">
        <v>466</v>
      </c>
      <c r="C39" s="95">
        <v>200</v>
      </c>
      <c r="D39" s="261">
        <v>1800000</v>
      </c>
      <c r="E39" s="261">
        <f>'Пр. 5 '!E51</f>
        <v>1733447</v>
      </c>
      <c r="F39" s="104">
        <f>'Пр. 6'!E43</f>
        <v>0</v>
      </c>
      <c r="G39" s="104">
        <f>'Пр. 6'!F43</f>
        <v>0</v>
      </c>
      <c r="H39" s="163"/>
      <c r="I39" s="291"/>
    </row>
    <row r="40" spans="1:9" s="26" customFormat="1" ht="31.5">
      <c r="A40" s="38" t="s">
        <v>203</v>
      </c>
      <c r="B40" s="47" t="s">
        <v>285</v>
      </c>
      <c r="C40" s="159"/>
      <c r="D40" s="283">
        <f>D41</f>
        <v>1709000</v>
      </c>
      <c r="E40" s="101">
        <f>E41</f>
        <v>1971000</v>
      </c>
      <c r="F40" s="101">
        <f t="shared" ref="F40:G46" si="2">F41</f>
        <v>1200000</v>
      </c>
      <c r="G40" s="101">
        <f t="shared" si="2"/>
        <v>0</v>
      </c>
      <c r="H40" s="117">
        <f t="shared" si="1"/>
        <v>3171000</v>
      </c>
      <c r="I40" s="292"/>
    </row>
    <row r="41" spans="1:9" s="30" customFormat="1" ht="48" thickBot="1">
      <c r="A41" s="48" t="s">
        <v>511</v>
      </c>
      <c r="B41" s="92" t="s">
        <v>286</v>
      </c>
      <c r="C41" s="93">
        <v>200</v>
      </c>
      <c r="D41" s="258">
        <v>1709000</v>
      </c>
      <c r="E41" s="103">
        <f>'Пр. 7'!G59</f>
        <v>1971000</v>
      </c>
      <c r="F41" s="103">
        <f>Пр.8!G49</f>
        <v>1200000</v>
      </c>
      <c r="G41" s="103">
        <f>Пр.8!H49</f>
        <v>0</v>
      </c>
      <c r="H41" s="163">
        <f t="shared" si="1"/>
        <v>3171000</v>
      </c>
      <c r="I41" s="291"/>
    </row>
    <row r="42" spans="1:9" s="30" customFormat="1">
      <c r="A42" s="38" t="s">
        <v>370</v>
      </c>
      <c r="B42" s="47" t="s">
        <v>371</v>
      </c>
      <c r="C42" s="166"/>
      <c r="D42" s="283">
        <f>D43</f>
        <v>210000</v>
      </c>
      <c r="E42" s="101">
        <f>E43</f>
        <v>424500</v>
      </c>
      <c r="F42" s="101">
        <f t="shared" si="2"/>
        <v>210000</v>
      </c>
      <c r="G42" s="101">
        <f t="shared" si="2"/>
        <v>210000</v>
      </c>
      <c r="H42" s="117">
        <f t="shared" si="1"/>
        <v>844500</v>
      </c>
      <c r="I42" s="291"/>
    </row>
    <row r="43" spans="1:9" s="30" customFormat="1" ht="32.25" thickBot="1">
      <c r="A43" s="48" t="s">
        <v>512</v>
      </c>
      <c r="B43" s="92" t="s">
        <v>369</v>
      </c>
      <c r="C43" s="93">
        <v>200</v>
      </c>
      <c r="D43" s="258">
        <v>210000</v>
      </c>
      <c r="E43" s="103">
        <f>'Пр. 7'!G60</f>
        <v>424500</v>
      </c>
      <c r="F43" s="103">
        <f>Пр.8!G46</f>
        <v>210000</v>
      </c>
      <c r="G43" s="103">
        <f>Пр.8!H46</f>
        <v>210000</v>
      </c>
      <c r="H43" s="163"/>
      <c r="I43" s="291"/>
    </row>
    <row r="44" spans="1:9" s="30" customFormat="1" ht="31.5">
      <c r="A44" s="38" t="s">
        <v>372</v>
      </c>
      <c r="B44" s="47" t="s">
        <v>373</v>
      </c>
      <c r="C44" s="166"/>
      <c r="D44" s="283">
        <f>D45</f>
        <v>666000</v>
      </c>
      <c r="E44" s="101">
        <f>E45</f>
        <v>835000</v>
      </c>
      <c r="F44" s="101">
        <f t="shared" si="2"/>
        <v>335000</v>
      </c>
      <c r="G44" s="101">
        <f t="shared" si="2"/>
        <v>335000</v>
      </c>
      <c r="H44" s="117">
        <f>E44+F44+G44</f>
        <v>1505000</v>
      </c>
      <c r="I44" s="291"/>
    </row>
    <row r="45" spans="1:9" s="30" customFormat="1" ht="32.25" thickBot="1">
      <c r="A45" s="48" t="s">
        <v>254</v>
      </c>
      <c r="B45" s="92" t="s">
        <v>374</v>
      </c>
      <c r="C45" s="93">
        <v>200</v>
      </c>
      <c r="D45" s="258">
        <v>666000</v>
      </c>
      <c r="E45" s="103">
        <f>'Пр. 7'!G53</f>
        <v>835000</v>
      </c>
      <c r="F45" s="103">
        <f>Пр.8!G44</f>
        <v>335000</v>
      </c>
      <c r="G45" s="103">
        <f>Пр.8!H44</f>
        <v>335000</v>
      </c>
      <c r="H45" s="163"/>
      <c r="I45" s="291"/>
    </row>
    <row r="46" spans="1:9" s="26" customFormat="1" ht="31.5">
      <c r="A46" s="38" t="s">
        <v>501</v>
      </c>
      <c r="B46" s="47" t="s">
        <v>499</v>
      </c>
      <c r="C46" s="351"/>
      <c r="D46" s="101">
        <f>D47</f>
        <v>726200</v>
      </c>
      <c r="E46" s="101">
        <f>E47</f>
        <v>60000</v>
      </c>
      <c r="F46" s="101">
        <f t="shared" si="2"/>
        <v>0</v>
      </c>
      <c r="G46" s="101">
        <f t="shared" si="2"/>
        <v>0</v>
      </c>
    </row>
    <row r="47" spans="1:9" s="30" customFormat="1" ht="48" thickBot="1">
      <c r="A47" s="48" t="s">
        <v>498</v>
      </c>
      <c r="B47" s="92" t="s">
        <v>500</v>
      </c>
      <c r="C47" s="93">
        <v>200</v>
      </c>
      <c r="D47" s="105">
        <v>726200</v>
      </c>
      <c r="E47" s="105">
        <f>'Пр. 7'!G54</f>
        <v>60000</v>
      </c>
      <c r="F47" s="103">
        <f>Пр.8!G45</f>
        <v>0</v>
      </c>
      <c r="G47" s="103">
        <f>Пр.8!H45</f>
        <v>0</v>
      </c>
    </row>
    <row r="48" spans="1:9" s="30" customFormat="1" ht="75">
      <c r="A48" s="65" t="s">
        <v>458</v>
      </c>
      <c r="B48" s="64" t="s">
        <v>287</v>
      </c>
      <c r="C48" s="66"/>
      <c r="D48" s="283">
        <f>D49+D55+D57+D59+D64+D66</f>
        <v>10026820.859999999</v>
      </c>
      <c r="E48" s="101">
        <f>E49+E55+E57+E59+E64+E66</f>
        <v>11662369.289999999</v>
      </c>
      <c r="F48" s="101">
        <f>F49+F55+F57+F59+F64</f>
        <v>6677360.5999999996</v>
      </c>
      <c r="G48" s="101">
        <f>G49+G55+G57+G59+G64</f>
        <v>4567300.5999999996</v>
      </c>
      <c r="H48" s="117">
        <f>E48+F48+G48</f>
        <v>22907030.490000002</v>
      </c>
      <c r="I48" s="290"/>
    </row>
    <row r="49" spans="1:9" s="30" customFormat="1" ht="31.5">
      <c r="A49" s="38" t="s">
        <v>204</v>
      </c>
      <c r="B49" s="47" t="s">
        <v>288</v>
      </c>
      <c r="C49" s="159"/>
      <c r="D49" s="283">
        <f>SUM(D50:D54)</f>
        <v>6048912.3200000003</v>
      </c>
      <c r="E49" s="101">
        <f>SUM(E50:E54)</f>
        <v>5391758</v>
      </c>
      <c r="F49" s="101">
        <f>SUM(F50:F54)</f>
        <v>4060060</v>
      </c>
      <c r="G49" s="101">
        <f>SUM(G50:G54)</f>
        <v>2550000</v>
      </c>
      <c r="H49" s="117">
        <f t="shared" ref="H49:H66" si="3">E49+F49+G49</f>
        <v>12001818</v>
      </c>
      <c r="I49" s="291"/>
    </row>
    <row r="50" spans="1:9" s="30" customFormat="1" ht="78.75">
      <c r="A50" s="49" t="s">
        <v>222</v>
      </c>
      <c r="B50" s="45" t="s">
        <v>289</v>
      </c>
      <c r="C50" s="46">
        <v>100</v>
      </c>
      <c r="D50" s="258">
        <v>1712154.32</v>
      </c>
      <c r="E50" s="103">
        <f>'Пр. 7'!G69</f>
        <v>2534160</v>
      </c>
      <c r="F50" s="103">
        <f>Пр.8!G57</f>
        <v>2050060</v>
      </c>
      <c r="G50" s="103">
        <f>'Пр. 6'!F54</f>
        <v>1500000</v>
      </c>
      <c r="H50" s="163">
        <f t="shared" si="3"/>
        <v>6084220</v>
      </c>
      <c r="I50" s="291"/>
    </row>
    <row r="51" spans="1:9" s="30" customFormat="1" ht="94.5">
      <c r="A51" s="49" t="s">
        <v>221</v>
      </c>
      <c r="B51" s="45" t="s">
        <v>290</v>
      </c>
      <c r="C51" s="46">
        <v>100</v>
      </c>
      <c r="D51" s="258">
        <v>34258</v>
      </c>
      <c r="E51" s="103">
        <f>'Пр. 7'!G70</f>
        <v>48918</v>
      </c>
      <c r="F51" s="103">
        <f>'Пр. 6'!E55</f>
        <v>0</v>
      </c>
      <c r="G51" s="103">
        <f>'Пр. 6'!F55</f>
        <v>0</v>
      </c>
      <c r="H51" s="163">
        <f t="shared" si="3"/>
        <v>48918</v>
      </c>
      <c r="I51" s="291"/>
    </row>
    <row r="52" spans="1:9" s="30" customFormat="1" ht="31.5">
      <c r="A52" s="49" t="s">
        <v>513</v>
      </c>
      <c r="B52" s="45" t="s">
        <v>289</v>
      </c>
      <c r="C52" s="46">
        <v>200</v>
      </c>
      <c r="D52" s="258">
        <v>4250000</v>
      </c>
      <c r="E52" s="103">
        <f>'Пр. 7'!G71</f>
        <v>2002680</v>
      </c>
      <c r="F52" s="103">
        <f>Пр.8!G59</f>
        <v>1450000</v>
      </c>
      <c r="G52" s="103">
        <f>Пр.8!H59</f>
        <v>1000000</v>
      </c>
      <c r="H52" s="163">
        <f t="shared" si="3"/>
        <v>4452680</v>
      </c>
      <c r="I52" s="291"/>
    </row>
    <row r="53" spans="1:9" s="30" customFormat="1" ht="31.5">
      <c r="A53" s="370" t="s">
        <v>606</v>
      </c>
      <c r="B53" s="45" t="s">
        <v>605</v>
      </c>
      <c r="C53" s="352">
        <v>200</v>
      </c>
      <c r="D53" s="103">
        <v>0</v>
      </c>
      <c r="E53" s="103">
        <f>'Пр. 7'!G72</f>
        <v>765000</v>
      </c>
      <c r="F53" s="103">
        <f>Пр.8!G60</f>
        <v>500000</v>
      </c>
      <c r="G53" s="103" t="str">
        <f>Пр.8!H60</f>
        <v>,</v>
      </c>
      <c r="H53" s="163" t="e">
        <f>E53+F53+G53</f>
        <v>#VALUE!</v>
      </c>
      <c r="I53" s="291"/>
    </row>
    <row r="54" spans="1:9" s="30" customFormat="1" ht="31.5">
      <c r="A54" s="49" t="s">
        <v>223</v>
      </c>
      <c r="B54" s="45" t="s">
        <v>289</v>
      </c>
      <c r="C54" s="46">
        <v>800</v>
      </c>
      <c r="D54" s="258">
        <v>52500</v>
      </c>
      <c r="E54" s="103">
        <f>'Пр. 7'!G74</f>
        <v>41000</v>
      </c>
      <c r="F54" s="103">
        <f>Пр.8!G61</f>
        <v>60000</v>
      </c>
      <c r="G54" s="103">
        <f>Пр.8!H61</f>
        <v>50000</v>
      </c>
      <c r="H54" s="163">
        <f t="shared" si="3"/>
        <v>151000</v>
      </c>
      <c r="I54" s="291"/>
    </row>
    <row r="55" spans="1:9" s="30" customFormat="1" ht="31.5">
      <c r="A55" s="38" t="s">
        <v>205</v>
      </c>
      <c r="B55" s="47" t="s">
        <v>291</v>
      </c>
      <c r="C55" s="159"/>
      <c r="D55" s="283">
        <f>D56</f>
        <v>11000</v>
      </c>
      <c r="E55" s="101">
        <f>E56</f>
        <v>100000</v>
      </c>
      <c r="F55" s="101">
        <f>F56</f>
        <v>100000</v>
      </c>
      <c r="G55" s="101">
        <f>G56</f>
        <v>0</v>
      </c>
      <c r="H55" s="117">
        <f t="shared" si="3"/>
        <v>200000</v>
      </c>
      <c r="I55" s="291"/>
    </row>
    <row r="56" spans="1:9" s="30" customFormat="1" ht="31.5">
      <c r="A56" s="49" t="s">
        <v>514</v>
      </c>
      <c r="B56" s="45" t="s">
        <v>292</v>
      </c>
      <c r="C56" s="46">
        <v>200</v>
      </c>
      <c r="D56" s="258">
        <v>11000</v>
      </c>
      <c r="E56" s="103">
        <f>'Пр. 7'!G86</f>
        <v>100000</v>
      </c>
      <c r="F56" s="103">
        <f>Пр.8!G72</f>
        <v>100000</v>
      </c>
      <c r="G56" s="103">
        <f>Пр.8!H72</f>
        <v>0</v>
      </c>
      <c r="H56" s="163">
        <f t="shared" si="3"/>
        <v>200000</v>
      </c>
      <c r="I56" s="291"/>
    </row>
    <row r="57" spans="1:9" s="30" customFormat="1" ht="31.5">
      <c r="A57" s="38" t="s">
        <v>206</v>
      </c>
      <c r="B57" s="47" t="s">
        <v>293</v>
      </c>
      <c r="C57" s="159"/>
      <c r="D57" s="283">
        <f>D58</f>
        <v>400000</v>
      </c>
      <c r="E57" s="101">
        <f>E58</f>
        <v>1071000</v>
      </c>
      <c r="F57" s="101">
        <f>F58</f>
        <v>500000</v>
      </c>
      <c r="G57" s="101">
        <f>G58</f>
        <v>0</v>
      </c>
      <c r="H57" s="117">
        <f t="shared" si="3"/>
        <v>1571000</v>
      </c>
      <c r="I57" s="291"/>
    </row>
    <row r="58" spans="1:9" s="30" customFormat="1" ht="47.25">
      <c r="A58" s="39" t="s">
        <v>515</v>
      </c>
      <c r="B58" s="94" t="s">
        <v>294</v>
      </c>
      <c r="C58" s="41">
        <v>200</v>
      </c>
      <c r="D58" s="258">
        <v>400000</v>
      </c>
      <c r="E58" s="103">
        <f>'Пр. 7'!G88</f>
        <v>1071000</v>
      </c>
      <c r="F58" s="103">
        <f>Пр.8!G74</f>
        <v>500000</v>
      </c>
      <c r="G58" s="103">
        <f>Пр.8!H74</f>
        <v>0</v>
      </c>
      <c r="H58" s="163">
        <f t="shared" si="3"/>
        <v>1571000</v>
      </c>
      <c r="I58" s="291"/>
    </row>
    <row r="59" spans="1:9" s="30" customFormat="1" ht="31.5">
      <c r="A59" s="38" t="s">
        <v>228</v>
      </c>
      <c r="B59" s="47" t="s">
        <v>295</v>
      </c>
      <c r="C59" s="159"/>
      <c r="D59" s="283">
        <f>SUM(D60:D63)</f>
        <v>1198010.54</v>
      </c>
      <c r="E59" s="101">
        <f>SUM(E60:E63)</f>
        <v>1770229.29</v>
      </c>
      <c r="F59" s="101">
        <f>SUM(F60:F63)</f>
        <v>817300.6</v>
      </c>
      <c r="G59" s="101">
        <f>SUM(G60:G63)</f>
        <v>817300.6</v>
      </c>
      <c r="H59" s="117">
        <f t="shared" si="3"/>
        <v>3404830.49</v>
      </c>
      <c r="I59" s="291"/>
    </row>
    <row r="60" spans="1:9" s="30" customFormat="1" ht="96.75" customHeight="1">
      <c r="A60" s="49" t="s">
        <v>229</v>
      </c>
      <c r="B60" s="45" t="s">
        <v>459</v>
      </c>
      <c r="C60" s="46">
        <v>100</v>
      </c>
      <c r="D60" s="103">
        <v>697071</v>
      </c>
      <c r="E60" s="103">
        <f>'Пр. 7'!G77</f>
        <v>663379.56000000006</v>
      </c>
      <c r="F60" s="103">
        <f>Пр.8!G63</f>
        <v>663379.56000000006</v>
      </c>
      <c r="G60" s="103">
        <f>Пр.8!H63</f>
        <v>663379.56000000006</v>
      </c>
      <c r="H60" s="163">
        <f t="shared" si="3"/>
        <v>1990138.6800000002</v>
      </c>
      <c r="I60" s="291"/>
    </row>
    <row r="61" spans="1:9" s="30" customFormat="1" ht="47.25">
      <c r="A61" s="49" t="s">
        <v>516</v>
      </c>
      <c r="B61" s="45" t="s">
        <v>459</v>
      </c>
      <c r="C61" s="46">
        <v>200</v>
      </c>
      <c r="D61" s="258">
        <v>87191</v>
      </c>
      <c r="E61" s="103">
        <f>'Пр. 7'!G78</f>
        <v>596320</v>
      </c>
      <c r="F61" s="103">
        <f>Пр.8!G64</f>
        <v>153921.03999999992</v>
      </c>
      <c r="G61" s="103">
        <f>Пр.8!H64</f>
        <v>153921.03999999992</v>
      </c>
      <c r="H61" s="163">
        <f t="shared" si="3"/>
        <v>904162.07999999984</v>
      </c>
      <c r="I61" s="291"/>
    </row>
    <row r="62" spans="1:9" s="30" customFormat="1" ht="110.25">
      <c r="A62" s="49" t="s">
        <v>230</v>
      </c>
      <c r="B62" s="45" t="s">
        <v>296</v>
      </c>
      <c r="C62" s="46">
        <v>100</v>
      </c>
      <c r="D62" s="258">
        <v>393061.12</v>
      </c>
      <c r="E62" s="103">
        <f>'Пр. 7'!G79</f>
        <v>485003.25</v>
      </c>
      <c r="F62" s="103">
        <f>Пр.8!G65</f>
        <v>0</v>
      </c>
      <c r="G62" s="103">
        <f>Пр.8!H65</f>
        <v>0</v>
      </c>
      <c r="H62" s="163">
        <f t="shared" si="3"/>
        <v>485003.25</v>
      </c>
      <c r="I62" s="291"/>
    </row>
    <row r="63" spans="1:9" s="30" customFormat="1" ht="110.25">
      <c r="A63" s="49" t="s">
        <v>231</v>
      </c>
      <c r="B63" s="45" t="s">
        <v>297</v>
      </c>
      <c r="C63" s="46">
        <v>100</v>
      </c>
      <c r="D63" s="258">
        <v>20687.419999999998</v>
      </c>
      <c r="E63" s="103">
        <f>'Пр. 7'!G80</f>
        <v>25526.48</v>
      </c>
      <c r="F63" s="103">
        <f>Пр.8!G66</f>
        <v>0</v>
      </c>
      <c r="G63" s="103">
        <f>Пр.8!H66</f>
        <v>0</v>
      </c>
      <c r="H63" s="163">
        <f t="shared" si="3"/>
        <v>25526.48</v>
      </c>
      <c r="I63" s="291"/>
    </row>
    <row r="64" spans="1:9" ht="31.5">
      <c r="A64" s="40" t="s">
        <v>233</v>
      </c>
      <c r="B64" s="64" t="s">
        <v>298</v>
      </c>
      <c r="C64" s="66"/>
      <c r="D64" s="283">
        <f>D65</f>
        <v>1718000</v>
      </c>
      <c r="E64" s="101">
        <f>E65</f>
        <v>2400000</v>
      </c>
      <c r="F64" s="101">
        <f>F65</f>
        <v>1200000</v>
      </c>
      <c r="G64" s="101">
        <f>G65</f>
        <v>1200000</v>
      </c>
      <c r="H64" s="117">
        <f t="shared" si="3"/>
        <v>4800000</v>
      </c>
    </row>
    <row r="65" spans="1:16" s="30" customFormat="1" ht="48" thickBot="1">
      <c r="A65" s="48" t="s">
        <v>517</v>
      </c>
      <c r="B65" s="92" t="s">
        <v>299</v>
      </c>
      <c r="C65" s="93">
        <v>200</v>
      </c>
      <c r="D65" s="258">
        <v>1718000</v>
      </c>
      <c r="E65" s="103">
        <f>'Пр. 7'!G82</f>
        <v>2400000</v>
      </c>
      <c r="F65" s="103">
        <f>Пр.8!G68</f>
        <v>1200000</v>
      </c>
      <c r="G65" s="103">
        <f>Пр.8!H68</f>
        <v>1200000</v>
      </c>
      <c r="H65" s="163">
        <f t="shared" si="3"/>
        <v>4800000</v>
      </c>
      <c r="I65" s="291"/>
      <c r="P65" s="414"/>
    </row>
    <row r="66" spans="1:16" s="30" customFormat="1" ht="47.25">
      <c r="A66" s="38" t="s">
        <v>451</v>
      </c>
      <c r="B66" s="47" t="s">
        <v>452</v>
      </c>
      <c r="C66" s="47"/>
      <c r="D66" s="284">
        <f>D67</f>
        <v>650898</v>
      </c>
      <c r="E66" s="247">
        <f>E67</f>
        <v>929382</v>
      </c>
      <c r="F66" s="247">
        <f>F67</f>
        <v>0</v>
      </c>
      <c r="G66" s="247">
        <f>G67</f>
        <v>0</v>
      </c>
      <c r="H66" s="117">
        <f t="shared" si="3"/>
        <v>929382</v>
      </c>
      <c r="I66" s="291"/>
    </row>
    <row r="67" spans="1:16" s="30" customFormat="1" ht="94.5">
      <c r="A67" s="49" t="s">
        <v>224</v>
      </c>
      <c r="B67" s="45" t="s">
        <v>450</v>
      </c>
      <c r="C67" s="45" t="s">
        <v>453</v>
      </c>
      <c r="D67" s="175">
        <v>650898</v>
      </c>
      <c r="E67" s="100">
        <f>'Пр. 5 '!E85</f>
        <v>929382</v>
      </c>
      <c r="F67" s="103">
        <f>'Пр. 6'!E71</f>
        <v>0</v>
      </c>
      <c r="G67" s="103">
        <f>'Пр. 6'!F71</f>
        <v>0</v>
      </c>
      <c r="H67" s="163"/>
      <c r="I67" s="291"/>
    </row>
    <row r="68" spans="1:16">
      <c r="A68" s="38" t="s">
        <v>213</v>
      </c>
      <c r="B68" s="45"/>
      <c r="C68" s="46"/>
      <c r="D68" s="95"/>
      <c r="E68" s="101"/>
      <c r="F68" s="101"/>
      <c r="G68" s="101"/>
    </row>
    <row r="71" spans="1:16" ht="31.5">
      <c r="A71" s="289" t="str">
        <f>A6</f>
        <v>МУНИЦИПАЛЬНАЯ ПРОГРАММА «РАЗВИТИЕ ТЕРРИТОРИИ ЛЕЖНЕВСКОГО СЕЛЬСКОГО ПОСЕЛЕНИЯ НА 2020-2022 ГОДЫ»</v>
      </c>
      <c r="B71" s="289" t="str">
        <f t="shared" ref="B71:K71" si="4">B6</f>
        <v>0100000000</v>
      </c>
      <c r="C71" s="289">
        <f t="shared" si="4"/>
        <v>0</v>
      </c>
      <c r="D71" s="289">
        <f t="shared" si="4"/>
        <v>25073129.140000001</v>
      </c>
      <c r="E71" s="289">
        <f t="shared" si="4"/>
        <v>28628508.289999999</v>
      </c>
      <c r="F71" s="289">
        <f t="shared" si="4"/>
        <v>17905000</v>
      </c>
      <c r="G71" s="289">
        <f t="shared" si="4"/>
        <v>11536900</v>
      </c>
      <c r="H71" s="289">
        <f t="shared" si="4"/>
        <v>58070408.289999999</v>
      </c>
      <c r="I71" s="165">
        <f>SUM(I74:I77)</f>
        <v>100</v>
      </c>
      <c r="J71" s="77">
        <f t="shared" si="4"/>
        <v>0</v>
      </c>
      <c r="K71" s="77">
        <f t="shared" si="4"/>
        <v>-330000</v>
      </c>
    </row>
    <row r="72" spans="1:16" ht="47.25">
      <c r="A72" s="49" t="s">
        <v>34</v>
      </c>
      <c r="B72" s="49"/>
      <c r="C72" s="49"/>
      <c r="D72" s="49"/>
      <c r="E72" s="352" t="s">
        <v>382</v>
      </c>
      <c r="F72" s="352" t="s">
        <v>471</v>
      </c>
      <c r="G72" s="352" t="s">
        <v>584</v>
      </c>
      <c r="H72" s="286" t="s">
        <v>485</v>
      </c>
      <c r="I72" s="286" t="s">
        <v>486</v>
      </c>
      <c r="J72" s="77"/>
      <c r="K72" s="77"/>
    </row>
    <row r="73" spans="1:16" ht="31.5">
      <c r="A73" s="49" t="s">
        <v>269</v>
      </c>
      <c r="B73" s="49"/>
      <c r="C73" s="49"/>
      <c r="D73" s="49"/>
      <c r="E73" s="81">
        <f>SUM(E74:E77)</f>
        <v>28628508.289999999</v>
      </c>
      <c r="F73" s="81">
        <f>SUM(F74:F77)</f>
        <v>17905000</v>
      </c>
      <c r="G73" s="81">
        <f>SUM(G74:G77)</f>
        <v>11536900</v>
      </c>
      <c r="H73" s="81">
        <f>SUM(H74:H77)</f>
        <v>58070408.289999999</v>
      </c>
      <c r="I73" s="293">
        <f>SUM(I74:I77)</f>
        <v>100</v>
      </c>
      <c r="J73" s="77"/>
      <c r="K73" s="77"/>
    </row>
    <row r="74" spans="1:16" ht="47.25">
      <c r="A74" s="49" t="str">
        <f t="shared" ref="A74:H74" si="5">A7</f>
        <v xml:space="preserve">Подпрограмма "Муниципально управление" муниципальной программы «Развитие территории Лежневского сельского поселения на 2020-2022 годы» </v>
      </c>
      <c r="B74" s="49" t="str">
        <f t="shared" si="5"/>
        <v>0110000000</v>
      </c>
      <c r="C74" s="49">
        <f t="shared" si="5"/>
        <v>0</v>
      </c>
      <c r="D74" s="49">
        <f t="shared" si="5"/>
        <v>8212327.2800000003</v>
      </c>
      <c r="E74" s="81">
        <f t="shared" si="5"/>
        <v>9464411</v>
      </c>
      <c r="F74" s="81">
        <f t="shared" si="5"/>
        <v>7659858.4000000004</v>
      </c>
      <c r="G74" s="81">
        <f t="shared" si="5"/>
        <v>6001818.4000000004</v>
      </c>
      <c r="H74" s="81">
        <f t="shared" si="5"/>
        <v>23126087.799999997</v>
      </c>
      <c r="I74" s="293">
        <f>H74/$H$71*100</f>
        <v>39.82422111535665</v>
      </c>
      <c r="J74" s="77">
        <f>J7</f>
        <v>0</v>
      </c>
      <c r="K74" s="77">
        <f>K7</f>
        <v>0</v>
      </c>
    </row>
    <row r="75" spans="1:16" ht="47.25">
      <c r="A75" s="49" t="str">
        <f t="shared" ref="A75:H75" si="6">A28</f>
        <v xml:space="preserve">Подпрограмма "Безопасность поселения" муниципальной программы «Развитие территории Лежневского сельского поселения на 2020-2022 годы» </v>
      </c>
      <c r="B75" s="49" t="str">
        <f t="shared" si="6"/>
        <v>0120000000</v>
      </c>
      <c r="C75" s="49">
        <f t="shared" si="6"/>
        <v>0</v>
      </c>
      <c r="D75" s="49">
        <f t="shared" si="6"/>
        <v>1050000</v>
      </c>
      <c r="E75" s="81">
        <f t="shared" si="6"/>
        <v>1595000</v>
      </c>
      <c r="F75" s="81">
        <f t="shared" si="6"/>
        <v>1300000</v>
      </c>
      <c r="G75" s="81">
        <f t="shared" si="6"/>
        <v>100000</v>
      </c>
      <c r="H75" s="81">
        <f t="shared" si="6"/>
        <v>2995000</v>
      </c>
      <c r="I75" s="293">
        <f>H75/$H$71*100</f>
        <v>5.1575321892747104</v>
      </c>
      <c r="J75" s="77">
        <f>J28</f>
        <v>0</v>
      </c>
      <c r="K75" s="77">
        <f>K28</f>
        <v>0</v>
      </c>
    </row>
    <row r="76" spans="1:16" ht="47.25">
      <c r="A76" s="49" t="str">
        <f t="shared" ref="A76:H76" si="7">A35</f>
        <v xml:space="preserve">Подпрограмма "Благоустройство территории" муниципальной программы «Развитие территории Лежневского сельского поселения на 2020-2022 годы» </v>
      </c>
      <c r="B76" s="49" t="str">
        <f t="shared" si="7"/>
        <v>0130000000</v>
      </c>
      <c r="C76" s="49">
        <f t="shared" si="7"/>
        <v>0</v>
      </c>
      <c r="D76" s="49">
        <f t="shared" si="7"/>
        <v>5783981</v>
      </c>
      <c r="E76" s="81">
        <f t="shared" si="7"/>
        <v>5906728</v>
      </c>
      <c r="F76" s="81">
        <f t="shared" si="7"/>
        <v>2267781</v>
      </c>
      <c r="G76" s="81">
        <f t="shared" si="7"/>
        <v>867781</v>
      </c>
      <c r="H76" s="81">
        <f t="shared" si="7"/>
        <v>9042290</v>
      </c>
      <c r="I76" s="293">
        <f>H76/$H$71*100</f>
        <v>15.571252667698438</v>
      </c>
      <c r="J76" s="77">
        <f>J35</f>
        <v>0</v>
      </c>
      <c r="K76" s="77">
        <f>K35</f>
        <v>0</v>
      </c>
    </row>
    <row r="77" spans="1:16" ht="47.25">
      <c r="A77" s="49" t="str">
        <f t="shared" ref="A77:H77" si="8">A48</f>
        <v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v>
      </c>
      <c r="B77" s="49" t="str">
        <f t="shared" si="8"/>
        <v>014000000</v>
      </c>
      <c r="C77" s="49">
        <f t="shared" si="8"/>
        <v>0</v>
      </c>
      <c r="D77" s="49">
        <f t="shared" si="8"/>
        <v>10026820.859999999</v>
      </c>
      <c r="E77" s="81">
        <f t="shared" si="8"/>
        <v>11662369.289999999</v>
      </c>
      <c r="F77" s="81">
        <f t="shared" si="8"/>
        <v>6677360.5999999996</v>
      </c>
      <c r="G77" s="81">
        <f t="shared" si="8"/>
        <v>4567300.5999999996</v>
      </c>
      <c r="H77" s="81">
        <f t="shared" si="8"/>
        <v>22907030.490000002</v>
      </c>
      <c r="I77" s="293">
        <f>H77/$H$71*100</f>
        <v>39.4469940276702</v>
      </c>
      <c r="J77" s="77">
        <f>J48</f>
        <v>0</v>
      </c>
      <c r="K77" s="77">
        <f>K48</f>
        <v>0</v>
      </c>
    </row>
  </sheetData>
  <mergeCells count="5">
    <mergeCell ref="E4:G4"/>
    <mergeCell ref="D4:D5"/>
    <mergeCell ref="A4:A5"/>
    <mergeCell ref="C4:C5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2" sqref="A1:B1048576"/>
    </sheetView>
  </sheetViews>
  <sheetFormatPr defaultRowHeight="15"/>
  <cols>
    <col min="1" max="1" width="65" style="153" customWidth="1"/>
    <col min="2" max="2" width="18" style="153" customWidth="1"/>
  </cols>
  <sheetData>
    <row r="1" spans="1:3" ht="15.75">
      <c r="A1" s="629" t="s">
        <v>216</v>
      </c>
      <c r="B1" s="629"/>
    </row>
    <row r="2" spans="1:3" ht="15.75">
      <c r="B2" s="462" t="s">
        <v>33</v>
      </c>
    </row>
    <row r="3" spans="1:3" ht="15.75">
      <c r="B3" s="462" t="s">
        <v>109</v>
      </c>
    </row>
    <row r="4" spans="1:3" ht="15.75">
      <c r="B4" s="462" t="s">
        <v>27</v>
      </c>
    </row>
    <row r="5" spans="1:3" ht="15.75">
      <c r="B5" s="462" t="s">
        <v>28</v>
      </c>
    </row>
    <row r="6" spans="1:3" ht="15.75">
      <c r="A6" s="627" t="s">
        <v>620</v>
      </c>
      <c r="B6" s="628"/>
    </row>
    <row r="8" spans="1:3" ht="38.25" customHeight="1">
      <c r="A8" s="626" t="s">
        <v>585</v>
      </c>
      <c r="B8" s="626"/>
    </row>
    <row r="9" spans="1:3" ht="15.75">
      <c r="A9" s="463"/>
      <c r="B9" s="463"/>
      <c r="C9" s="14"/>
    </row>
    <row r="11" spans="1:3" ht="31.5">
      <c r="A11" s="464" t="s">
        <v>29</v>
      </c>
      <c r="B11" s="465" t="s">
        <v>30</v>
      </c>
    </row>
    <row r="12" spans="1:3" ht="15.75">
      <c r="A12" s="466">
        <v>1</v>
      </c>
      <c r="B12" s="466">
        <v>2</v>
      </c>
    </row>
    <row r="13" spans="1:3" ht="31.5">
      <c r="A13" s="342" t="s">
        <v>32</v>
      </c>
      <c r="B13" s="467">
        <v>1</v>
      </c>
    </row>
    <row r="14" spans="1:3" ht="15.75">
      <c r="A14" s="342" t="s">
        <v>31</v>
      </c>
      <c r="B14" s="467">
        <v>1</v>
      </c>
    </row>
    <row r="15" spans="1:3" ht="47.25">
      <c r="A15" s="342" t="s">
        <v>348</v>
      </c>
      <c r="B15" s="467">
        <v>1</v>
      </c>
    </row>
    <row r="16" spans="1:3" ht="15.75">
      <c r="A16" s="462"/>
    </row>
    <row r="17" spans="1:1" ht="15.75">
      <c r="A17" s="46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8"/>
  <sheetViews>
    <sheetView topLeftCell="A93" zoomScale="115" zoomScaleNormal="115" workbookViewId="0">
      <selection activeCell="B64" sqref="B64"/>
    </sheetView>
  </sheetViews>
  <sheetFormatPr defaultRowHeight="15"/>
  <cols>
    <col min="1" max="1" width="28.140625" style="299" customWidth="1"/>
    <col min="2" max="2" width="64.85546875" style="303" customWidth="1"/>
    <col min="3" max="5" width="17.140625" style="299" customWidth="1"/>
    <col min="6" max="6" width="9.140625" style="33"/>
    <col min="7" max="7" width="12.7109375" style="33" bestFit="1" customWidth="1"/>
    <col min="8" max="8" width="13.28515625" style="33" bestFit="1" customWidth="1"/>
  </cols>
  <sheetData>
    <row r="1" spans="1:14" s="34" customFormat="1" ht="15.75">
      <c r="A1" s="391"/>
      <c r="B1" s="468"/>
      <c r="C1" s="630" t="s">
        <v>217</v>
      </c>
      <c r="D1" s="630"/>
      <c r="E1" s="630"/>
      <c r="F1" s="69"/>
      <c r="G1" s="69"/>
      <c r="H1" s="69"/>
    </row>
    <row r="2" spans="1:14" s="34" customFormat="1" ht="15.75">
      <c r="A2" s="391"/>
      <c r="B2" s="469"/>
      <c r="C2" s="631" t="s">
        <v>33</v>
      </c>
      <c r="D2" s="631"/>
      <c r="E2" s="631"/>
      <c r="F2" s="69"/>
      <c r="G2" s="69"/>
      <c r="H2" s="69"/>
    </row>
    <row r="3" spans="1:14" s="34" customFormat="1" ht="15.75">
      <c r="A3" s="391"/>
      <c r="B3" s="469"/>
      <c r="C3" s="631" t="s">
        <v>109</v>
      </c>
      <c r="D3" s="631"/>
      <c r="E3" s="631"/>
      <c r="F3" s="69"/>
      <c r="G3" s="69"/>
      <c r="H3" s="69"/>
    </row>
    <row r="4" spans="1:14" s="34" customFormat="1" ht="15.75">
      <c r="A4" s="391"/>
      <c r="B4" s="469"/>
      <c r="C4" s="631" t="s">
        <v>27</v>
      </c>
      <c r="D4" s="631"/>
      <c r="E4" s="631"/>
      <c r="F4" s="69"/>
      <c r="G4" s="69"/>
      <c r="H4" s="69"/>
    </row>
    <row r="5" spans="1:14" s="34" customFormat="1" ht="15.75">
      <c r="A5" s="391"/>
      <c r="B5" s="469"/>
      <c r="C5" s="631" t="s">
        <v>28</v>
      </c>
      <c r="D5" s="631"/>
      <c r="E5" s="631"/>
      <c r="F5" s="69"/>
      <c r="G5" s="69"/>
      <c r="H5" s="69"/>
    </row>
    <row r="6" spans="1:14" s="34" customFormat="1" ht="15.75">
      <c r="A6" s="391"/>
      <c r="B6" s="469"/>
      <c r="C6" s="631" t="s">
        <v>620</v>
      </c>
      <c r="D6" s="631"/>
      <c r="E6" s="631"/>
      <c r="F6" s="69"/>
      <c r="G6" s="69"/>
      <c r="H6" s="69"/>
    </row>
    <row r="7" spans="1:14" s="34" customFormat="1" ht="15.75">
      <c r="A7" s="391"/>
      <c r="B7" s="470"/>
      <c r="C7" s="391"/>
      <c r="D7" s="391"/>
      <c r="E7" s="391"/>
      <c r="F7" s="69"/>
      <c r="G7" s="69"/>
      <c r="H7" s="69"/>
    </row>
    <row r="8" spans="1:14" s="34" customFormat="1" ht="30" customHeight="1">
      <c r="A8" s="632" t="s">
        <v>586</v>
      </c>
      <c r="B8" s="632"/>
      <c r="C8" s="632"/>
      <c r="D8" s="632"/>
      <c r="E8" s="632"/>
      <c r="F8" s="69"/>
      <c r="G8" s="69"/>
      <c r="H8" s="69"/>
    </row>
    <row r="9" spans="1:14" s="34" customFormat="1">
      <c r="A9" s="391"/>
      <c r="B9" s="469"/>
      <c r="C9" s="391"/>
      <c r="D9" s="391"/>
      <c r="E9" s="391"/>
      <c r="F9" s="69"/>
      <c r="G9" s="69"/>
      <c r="H9" s="69"/>
    </row>
    <row r="10" spans="1:14" s="34" customFormat="1" ht="15.75">
      <c r="A10" s="471" t="s">
        <v>0</v>
      </c>
      <c r="B10" s="71" t="s">
        <v>1</v>
      </c>
      <c r="C10" s="633" t="s">
        <v>119</v>
      </c>
      <c r="D10" s="633"/>
      <c r="E10" s="633"/>
      <c r="F10" s="69"/>
      <c r="G10" s="69"/>
      <c r="H10" s="69"/>
      <c r="N10" s="35"/>
    </row>
    <row r="11" spans="1:14" s="34" customFormat="1" ht="15.75" customHeight="1">
      <c r="A11" s="471"/>
      <c r="B11" s="71"/>
      <c r="C11" s="431" t="s">
        <v>382</v>
      </c>
      <c r="D11" s="431" t="s">
        <v>471</v>
      </c>
      <c r="E11" s="431" t="s">
        <v>584</v>
      </c>
      <c r="F11" s="69"/>
      <c r="G11" s="69"/>
      <c r="H11" s="69"/>
    </row>
    <row r="12" spans="1:14" s="34" customFormat="1" ht="16.5" thickBot="1">
      <c r="A12" s="71" t="s">
        <v>2</v>
      </c>
      <c r="B12" s="173" t="s">
        <v>3</v>
      </c>
      <c r="C12" s="253">
        <f>C13+C26+C45+C37+C50+C62+C25+C69</f>
        <v>8449932.1899999995</v>
      </c>
      <c r="D12" s="253">
        <f>D13+D26+D45+D37+D50+D62+D25+D69</f>
        <v>7753582.3999999994</v>
      </c>
      <c r="E12" s="253">
        <f>E13+E26+E45+E37+E50+E62+E25+E69</f>
        <v>7900182.3999999994</v>
      </c>
      <c r="F12" s="69"/>
      <c r="G12" s="76"/>
      <c r="H12" s="69"/>
    </row>
    <row r="13" spans="1:14" s="43" customFormat="1" ht="16.5" thickBot="1">
      <c r="A13" s="472" t="s">
        <v>172</v>
      </c>
      <c r="B13" s="473" t="s">
        <v>173</v>
      </c>
      <c r="C13" s="253">
        <f>C14</f>
        <v>2055000</v>
      </c>
      <c r="D13" s="253">
        <f>D14</f>
        <v>1741500</v>
      </c>
      <c r="E13" s="253">
        <f>E14</f>
        <v>1781500</v>
      </c>
      <c r="F13" s="70"/>
      <c r="G13" s="70"/>
      <c r="H13" s="70"/>
    </row>
    <row r="14" spans="1:14" s="34" customFormat="1" ht="15.75">
      <c r="A14" s="71" t="s">
        <v>4</v>
      </c>
      <c r="B14" s="173" t="s">
        <v>5</v>
      </c>
      <c r="C14" s="253">
        <f>C15+C17+C20+C22</f>
        <v>2055000</v>
      </c>
      <c r="D14" s="253">
        <f>D15+D17+D20+D22</f>
        <v>1741500</v>
      </c>
      <c r="E14" s="253">
        <f>E15+E17+E20+E22</f>
        <v>1781500</v>
      </c>
      <c r="F14" s="69"/>
      <c r="G14" s="69"/>
      <c r="H14" s="69"/>
    </row>
    <row r="15" spans="1:14" s="34" customFormat="1" ht="78.75">
      <c r="A15" s="393" t="s">
        <v>174</v>
      </c>
      <c r="B15" s="189" t="s">
        <v>346</v>
      </c>
      <c r="C15" s="254">
        <f>C16</f>
        <v>1695000</v>
      </c>
      <c r="D15" s="254">
        <f>D16</f>
        <v>1710000</v>
      </c>
      <c r="E15" s="254">
        <f>E16</f>
        <v>1750000</v>
      </c>
      <c r="F15" s="69"/>
      <c r="G15" s="69"/>
      <c r="H15" s="69"/>
    </row>
    <row r="16" spans="1:14" s="34" customFormat="1" ht="78.75">
      <c r="A16" s="393" t="s">
        <v>6</v>
      </c>
      <c r="B16" s="189" t="s">
        <v>346</v>
      </c>
      <c r="C16" s="254">
        <v>1695000</v>
      </c>
      <c r="D16" s="254">
        <v>1710000</v>
      </c>
      <c r="E16" s="254">
        <v>1750000</v>
      </c>
      <c r="F16" s="69"/>
      <c r="G16" s="69"/>
      <c r="H16" s="69"/>
    </row>
    <row r="17" spans="1:8" s="34" customFormat="1" ht="110.25">
      <c r="A17" s="393" t="s">
        <v>175</v>
      </c>
      <c r="B17" s="189" t="s">
        <v>386</v>
      </c>
      <c r="C17" s="254">
        <f>C18</f>
        <v>50000</v>
      </c>
      <c r="D17" s="254">
        <f>D18</f>
        <v>24000</v>
      </c>
      <c r="E17" s="254">
        <f>E18</f>
        <v>24000</v>
      </c>
      <c r="F17" s="69"/>
      <c r="G17" s="69"/>
      <c r="H17" s="69"/>
    </row>
    <row r="18" spans="1:8" s="34" customFormat="1" ht="110.25">
      <c r="A18" s="393" t="s">
        <v>7</v>
      </c>
      <c r="B18" s="189" t="s">
        <v>386</v>
      </c>
      <c r="C18" s="254">
        <v>50000</v>
      </c>
      <c r="D18" s="254">
        <v>24000</v>
      </c>
      <c r="E18" s="254">
        <v>24000</v>
      </c>
      <c r="F18" s="69"/>
      <c r="G18" s="69"/>
      <c r="H18" s="69"/>
    </row>
    <row r="19" spans="1:8" s="34" customFormat="1" ht="47.25">
      <c r="A19" s="393" t="s">
        <v>176</v>
      </c>
      <c r="B19" s="189" t="s">
        <v>37</v>
      </c>
      <c r="C19" s="254">
        <f>C20</f>
        <v>10000</v>
      </c>
      <c r="D19" s="254">
        <f t="shared" ref="D19:E24" si="0">D20</f>
        <v>7500</v>
      </c>
      <c r="E19" s="254">
        <f t="shared" si="0"/>
        <v>7500</v>
      </c>
      <c r="F19" s="69"/>
      <c r="G19" s="69"/>
      <c r="H19" s="69"/>
    </row>
    <row r="20" spans="1:8" s="34" customFormat="1" ht="47.25">
      <c r="A20" s="393" t="s">
        <v>8</v>
      </c>
      <c r="B20" s="189" t="s">
        <v>37</v>
      </c>
      <c r="C20" s="254">
        <v>10000</v>
      </c>
      <c r="D20" s="254">
        <v>7500</v>
      </c>
      <c r="E20" s="254">
        <v>7500</v>
      </c>
      <c r="F20" s="69"/>
      <c r="G20" s="69"/>
      <c r="H20" s="69"/>
    </row>
    <row r="21" spans="1:8" s="34" customFormat="1" ht="94.5">
      <c r="A21" s="393" t="s">
        <v>665</v>
      </c>
      <c r="B21" s="189" t="s">
        <v>667</v>
      </c>
      <c r="C21" s="254">
        <f>C22</f>
        <v>300000</v>
      </c>
      <c r="D21" s="254">
        <f t="shared" si="0"/>
        <v>0</v>
      </c>
      <c r="E21" s="254">
        <f t="shared" si="0"/>
        <v>0</v>
      </c>
      <c r="F21" s="69"/>
      <c r="G21" s="69"/>
      <c r="H21" s="69"/>
    </row>
    <row r="22" spans="1:8" s="34" customFormat="1" ht="94.5">
      <c r="A22" s="393" t="s">
        <v>666</v>
      </c>
      <c r="B22" s="189" t="s">
        <v>667</v>
      </c>
      <c r="C22" s="540">
        <v>300000</v>
      </c>
      <c r="D22" s="254">
        <v>0</v>
      </c>
      <c r="E22" s="254">
        <v>0</v>
      </c>
      <c r="F22" s="69"/>
      <c r="G22" s="69"/>
      <c r="H22" s="69"/>
    </row>
    <row r="23" spans="1:8" s="44" customFormat="1" ht="15.75">
      <c r="A23" s="71" t="s">
        <v>388</v>
      </c>
      <c r="B23" s="173" t="s">
        <v>389</v>
      </c>
      <c r="C23" s="253">
        <f>C24</f>
        <v>2300</v>
      </c>
      <c r="D23" s="253">
        <f>D24</f>
        <v>0</v>
      </c>
      <c r="E23" s="253">
        <f>E24</f>
        <v>0</v>
      </c>
      <c r="F23" s="73"/>
      <c r="G23" s="73"/>
      <c r="H23" s="73"/>
    </row>
    <row r="24" spans="1:8" s="34" customFormat="1" ht="15.75">
      <c r="A24" s="393" t="s">
        <v>387</v>
      </c>
      <c r="B24" s="189" t="s">
        <v>334</v>
      </c>
      <c r="C24" s="254">
        <f>C25</f>
        <v>2300</v>
      </c>
      <c r="D24" s="254">
        <f t="shared" si="0"/>
        <v>0</v>
      </c>
      <c r="E24" s="254">
        <f t="shared" si="0"/>
        <v>0</v>
      </c>
      <c r="F24" s="69"/>
      <c r="G24" s="69"/>
      <c r="H24" s="69"/>
    </row>
    <row r="25" spans="1:8" s="34" customFormat="1" ht="15.75">
      <c r="A25" s="393" t="s">
        <v>333</v>
      </c>
      <c r="B25" s="189" t="s">
        <v>334</v>
      </c>
      <c r="C25" s="254">
        <v>2300</v>
      </c>
      <c r="D25" s="254">
        <v>0</v>
      </c>
      <c r="E25" s="254">
        <v>0</v>
      </c>
      <c r="F25" s="69"/>
      <c r="G25" s="69"/>
      <c r="H25" s="69"/>
    </row>
    <row r="26" spans="1:8" s="34" customFormat="1" ht="15.75">
      <c r="A26" s="71" t="s">
        <v>350</v>
      </c>
      <c r="B26" s="173" t="s">
        <v>9</v>
      </c>
      <c r="C26" s="253">
        <f>C27+C30</f>
        <v>5860000</v>
      </c>
      <c r="D26" s="253">
        <f>D27+D30</f>
        <v>5755000</v>
      </c>
      <c r="E26" s="253">
        <f>E27+E30</f>
        <v>5860000</v>
      </c>
      <c r="F26" s="69"/>
      <c r="G26" s="69"/>
      <c r="H26" s="69"/>
    </row>
    <row r="27" spans="1:8" s="34" customFormat="1" ht="15.75">
      <c r="A27" s="71" t="s">
        <v>345</v>
      </c>
      <c r="B27" s="173" t="s">
        <v>10</v>
      </c>
      <c r="C27" s="253">
        <f>C29</f>
        <v>500000</v>
      </c>
      <c r="D27" s="253">
        <f>D29</f>
        <v>535000</v>
      </c>
      <c r="E27" s="253">
        <f>E29</f>
        <v>560000</v>
      </c>
      <c r="F27" s="69"/>
      <c r="G27" s="69"/>
      <c r="H27" s="69"/>
    </row>
    <row r="28" spans="1:8" s="34" customFormat="1" ht="47.25">
      <c r="A28" s="189" t="s">
        <v>177</v>
      </c>
      <c r="B28" s="189" t="s">
        <v>26</v>
      </c>
      <c r="C28" s="254">
        <f>C29</f>
        <v>500000</v>
      </c>
      <c r="D28" s="254">
        <f>D29</f>
        <v>535000</v>
      </c>
      <c r="E28" s="254">
        <f>E29</f>
        <v>560000</v>
      </c>
      <c r="F28" s="69"/>
      <c r="G28" s="69"/>
      <c r="H28" s="69"/>
    </row>
    <row r="29" spans="1:8" s="34" customFormat="1" ht="47.25">
      <c r="A29" s="189" t="s">
        <v>11</v>
      </c>
      <c r="B29" s="189" t="s">
        <v>26</v>
      </c>
      <c r="C29" s="254">
        <v>500000</v>
      </c>
      <c r="D29" s="254">
        <v>535000</v>
      </c>
      <c r="E29" s="254">
        <v>560000</v>
      </c>
      <c r="F29" s="69"/>
      <c r="G29" s="69"/>
      <c r="H29" s="69"/>
    </row>
    <row r="30" spans="1:8" s="34" customFormat="1" ht="15.75">
      <c r="A30" s="71" t="s">
        <v>390</v>
      </c>
      <c r="B30" s="173" t="s">
        <v>12</v>
      </c>
      <c r="C30" s="253">
        <f>C32+C35</f>
        <v>5360000</v>
      </c>
      <c r="D30" s="253">
        <f>D32+D35</f>
        <v>5220000</v>
      </c>
      <c r="E30" s="253">
        <f>E32+E35</f>
        <v>5300000</v>
      </c>
      <c r="F30" s="69"/>
      <c r="G30" s="69"/>
      <c r="H30" s="69"/>
    </row>
    <row r="31" spans="1:8" s="158" customFormat="1" ht="15.75">
      <c r="A31" s="393" t="s">
        <v>351</v>
      </c>
      <c r="B31" s="189" t="s">
        <v>352</v>
      </c>
      <c r="C31" s="254">
        <f t="shared" ref="C31:E32" si="1">C32</f>
        <v>2160000</v>
      </c>
      <c r="D31" s="254">
        <f t="shared" si="1"/>
        <v>1670000</v>
      </c>
      <c r="E31" s="254">
        <f t="shared" si="1"/>
        <v>1700000</v>
      </c>
      <c r="F31" s="157"/>
      <c r="G31" s="157"/>
      <c r="H31" s="157"/>
    </row>
    <row r="32" spans="1:8" s="34" customFormat="1" ht="31.5">
      <c r="A32" s="393" t="s">
        <v>178</v>
      </c>
      <c r="B32" s="189" t="s">
        <v>14</v>
      </c>
      <c r="C32" s="254">
        <f t="shared" si="1"/>
        <v>2160000</v>
      </c>
      <c r="D32" s="254">
        <f t="shared" si="1"/>
        <v>1670000</v>
      </c>
      <c r="E32" s="254">
        <f t="shared" si="1"/>
        <v>1700000</v>
      </c>
      <c r="F32" s="69"/>
      <c r="G32" s="69"/>
      <c r="H32" s="69"/>
    </row>
    <row r="33" spans="1:8" s="34" customFormat="1" ht="31.5">
      <c r="A33" s="393" t="s">
        <v>13</v>
      </c>
      <c r="B33" s="189" t="s">
        <v>14</v>
      </c>
      <c r="C33" s="254">
        <v>2160000</v>
      </c>
      <c r="D33" s="254">
        <v>1670000</v>
      </c>
      <c r="E33" s="254">
        <v>1700000</v>
      </c>
      <c r="F33" s="69"/>
      <c r="G33" s="69"/>
      <c r="H33" s="69"/>
    </row>
    <row r="34" spans="1:8" s="34" customFormat="1" ht="15.75">
      <c r="A34" s="393" t="s">
        <v>353</v>
      </c>
      <c r="B34" s="189" t="s">
        <v>354</v>
      </c>
      <c r="C34" s="254">
        <f t="shared" ref="C34:E35" si="2">C35</f>
        <v>3200000</v>
      </c>
      <c r="D34" s="254">
        <f t="shared" si="2"/>
        <v>3550000</v>
      </c>
      <c r="E34" s="254">
        <f t="shared" si="2"/>
        <v>3600000</v>
      </c>
      <c r="F34" s="69"/>
      <c r="G34" s="69"/>
      <c r="H34" s="69"/>
    </row>
    <row r="35" spans="1:8" s="34" customFormat="1" ht="31.5">
      <c r="A35" s="393" t="s">
        <v>179</v>
      </c>
      <c r="B35" s="189" t="s">
        <v>16</v>
      </c>
      <c r="C35" s="254">
        <f t="shared" si="2"/>
        <v>3200000</v>
      </c>
      <c r="D35" s="254">
        <f t="shared" si="2"/>
        <v>3550000</v>
      </c>
      <c r="E35" s="254">
        <f t="shared" si="2"/>
        <v>3600000</v>
      </c>
      <c r="F35" s="69"/>
      <c r="G35" s="69"/>
      <c r="H35" s="69"/>
    </row>
    <row r="36" spans="1:8" s="34" customFormat="1" ht="31.5">
      <c r="A36" s="393" t="s">
        <v>15</v>
      </c>
      <c r="B36" s="189" t="s">
        <v>16</v>
      </c>
      <c r="C36" s="254">
        <v>3200000</v>
      </c>
      <c r="D36" s="254">
        <v>3550000</v>
      </c>
      <c r="E36" s="254">
        <v>3600000</v>
      </c>
      <c r="F36" s="69"/>
      <c r="G36" s="69"/>
      <c r="H36" s="69"/>
    </row>
    <row r="37" spans="1:8" s="34" customFormat="1" ht="47.25">
      <c r="A37" s="71" t="s">
        <v>17</v>
      </c>
      <c r="B37" s="173" t="s">
        <v>18</v>
      </c>
      <c r="C37" s="253">
        <f>C38+C43</f>
        <v>232844.72</v>
      </c>
      <c r="D37" s="253">
        <f>D38+D43</f>
        <v>232844.72</v>
      </c>
      <c r="E37" s="253">
        <f>E38+E43</f>
        <v>232844.72</v>
      </c>
      <c r="F37" s="69"/>
      <c r="G37" s="69"/>
      <c r="H37" s="69"/>
    </row>
    <row r="38" spans="1:8" s="158" customFormat="1" ht="94.5">
      <c r="A38" s="393" t="s">
        <v>355</v>
      </c>
      <c r="B38" s="189" t="s">
        <v>357</v>
      </c>
      <c r="C38" s="254">
        <f t="shared" ref="C38:E40" si="3">C39</f>
        <v>231844.72</v>
      </c>
      <c r="D38" s="254">
        <f t="shared" si="3"/>
        <v>231844.72</v>
      </c>
      <c r="E38" s="254">
        <f t="shared" si="3"/>
        <v>231844.72</v>
      </c>
      <c r="F38" s="157"/>
      <c r="G38" s="157"/>
      <c r="H38" s="157"/>
    </row>
    <row r="39" spans="1:8" s="158" customFormat="1" ht="78.75">
      <c r="A39" s="393" t="s">
        <v>356</v>
      </c>
      <c r="B39" s="189" t="s">
        <v>358</v>
      </c>
      <c r="C39" s="254">
        <f t="shared" si="3"/>
        <v>231844.72</v>
      </c>
      <c r="D39" s="254">
        <f t="shared" si="3"/>
        <v>231844.72</v>
      </c>
      <c r="E39" s="254">
        <f t="shared" si="3"/>
        <v>231844.72</v>
      </c>
      <c r="F39" s="157"/>
      <c r="G39" s="157"/>
      <c r="H39" s="157"/>
    </row>
    <row r="40" spans="1:8" s="34" customFormat="1" ht="78.75">
      <c r="A40" s="393" t="s">
        <v>181</v>
      </c>
      <c r="B40" s="189" t="s">
        <v>150</v>
      </c>
      <c r="C40" s="254">
        <f t="shared" si="3"/>
        <v>231844.72</v>
      </c>
      <c r="D40" s="254">
        <f t="shared" si="3"/>
        <v>231844.72</v>
      </c>
      <c r="E40" s="254">
        <f t="shared" si="3"/>
        <v>231844.72</v>
      </c>
      <c r="F40" s="69"/>
      <c r="G40" s="69"/>
      <c r="H40" s="69"/>
    </row>
    <row r="41" spans="1:8" s="34" customFormat="1" ht="78.75">
      <c r="A41" s="393" t="s">
        <v>110</v>
      </c>
      <c r="B41" s="189" t="s">
        <v>150</v>
      </c>
      <c r="C41" s="254">
        <v>231844.72</v>
      </c>
      <c r="D41" s="254">
        <v>231844.72</v>
      </c>
      <c r="E41" s="254">
        <v>231844.72</v>
      </c>
      <c r="F41" s="69"/>
      <c r="G41" s="69"/>
      <c r="H41" s="69"/>
    </row>
    <row r="42" spans="1:8" s="34" customFormat="1" ht="81" customHeight="1">
      <c r="A42" s="393" t="s">
        <v>359</v>
      </c>
      <c r="B42" s="189" t="s">
        <v>360</v>
      </c>
      <c r="C42" s="254">
        <f t="shared" ref="C42:E43" si="4">C43</f>
        <v>1000</v>
      </c>
      <c r="D42" s="254">
        <f t="shared" si="4"/>
        <v>1000</v>
      </c>
      <c r="E42" s="254">
        <f t="shared" si="4"/>
        <v>1000</v>
      </c>
      <c r="F42" s="69"/>
      <c r="G42" s="69"/>
      <c r="H42" s="69"/>
    </row>
    <row r="43" spans="1:8" s="34" customFormat="1" ht="78.75">
      <c r="A43" s="393" t="s">
        <v>182</v>
      </c>
      <c r="B43" s="249" t="s">
        <v>347</v>
      </c>
      <c r="C43" s="254">
        <f t="shared" si="4"/>
        <v>1000</v>
      </c>
      <c r="D43" s="254">
        <f t="shared" si="4"/>
        <v>1000</v>
      </c>
      <c r="E43" s="254">
        <f t="shared" si="4"/>
        <v>1000</v>
      </c>
      <c r="F43" s="69"/>
      <c r="G43" s="69"/>
      <c r="H43" s="69"/>
    </row>
    <row r="44" spans="1:8" s="34" customFormat="1" ht="78.75">
      <c r="A44" s="393" t="s">
        <v>111</v>
      </c>
      <c r="B44" s="249" t="s">
        <v>347</v>
      </c>
      <c r="C44" s="254">
        <v>1000</v>
      </c>
      <c r="D44" s="255">
        <v>1000</v>
      </c>
      <c r="E44" s="255">
        <v>1000</v>
      </c>
      <c r="F44" s="69"/>
      <c r="G44" s="69"/>
      <c r="H44" s="69"/>
    </row>
    <row r="45" spans="1:8" s="34" customFormat="1" ht="31.5">
      <c r="A45" s="71" t="s">
        <v>117</v>
      </c>
      <c r="B45" s="173" t="s">
        <v>118</v>
      </c>
      <c r="C45" s="253">
        <f>C49</f>
        <v>1000</v>
      </c>
      <c r="D45" s="253">
        <f>D49</f>
        <v>1000</v>
      </c>
      <c r="E45" s="253">
        <f>E49</f>
        <v>1000</v>
      </c>
      <c r="F45" s="69"/>
      <c r="G45" s="69"/>
      <c r="H45" s="69"/>
    </row>
    <row r="46" spans="1:8" s="158" customFormat="1" ht="15.75">
      <c r="A46" s="393" t="s">
        <v>363</v>
      </c>
      <c r="B46" s="189" t="s">
        <v>366</v>
      </c>
      <c r="C46" s="254">
        <f t="shared" ref="C46:E48" si="5">C47</f>
        <v>1000</v>
      </c>
      <c r="D46" s="254">
        <f t="shared" si="5"/>
        <v>1000</v>
      </c>
      <c r="E46" s="254">
        <f t="shared" si="5"/>
        <v>1000</v>
      </c>
      <c r="F46" s="157"/>
      <c r="G46" s="157"/>
      <c r="H46" s="157"/>
    </row>
    <row r="47" spans="1:8" s="158" customFormat="1" ht="15.75">
      <c r="A47" s="393" t="s">
        <v>364</v>
      </c>
      <c r="B47" s="189" t="s">
        <v>365</v>
      </c>
      <c r="C47" s="254">
        <f t="shared" si="5"/>
        <v>1000</v>
      </c>
      <c r="D47" s="254">
        <f t="shared" si="5"/>
        <v>1000</v>
      </c>
      <c r="E47" s="254">
        <f t="shared" si="5"/>
        <v>1000</v>
      </c>
      <c r="F47" s="157"/>
      <c r="G47" s="157"/>
      <c r="H47" s="157"/>
    </row>
    <row r="48" spans="1:8" s="34" customFormat="1" ht="31.5">
      <c r="A48" s="393" t="s">
        <v>180</v>
      </c>
      <c r="B48" s="189" t="s">
        <v>112</v>
      </c>
      <c r="C48" s="254">
        <f t="shared" si="5"/>
        <v>1000</v>
      </c>
      <c r="D48" s="254">
        <f t="shared" si="5"/>
        <v>1000</v>
      </c>
      <c r="E48" s="254">
        <f t="shared" si="5"/>
        <v>1000</v>
      </c>
      <c r="F48" s="69"/>
      <c r="G48" s="69"/>
      <c r="H48" s="69"/>
    </row>
    <row r="49" spans="1:8" s="34" customFormat="1" ht="31.5">
      <c r="A49" s="393" t="s">
        <v>422</v>
      </c>
      <c r="B49" s="189" t="s">
        <v>112</v>
      </c>
      <c r="C49" s="254">
        <v>1000</v>
      </c>
      <c r="D49" s="255">
        <v>1000</v>
      </c>
      <c r="E49" s="255">
        <v>1000</v>
      </c>
      <c r="F49" s="69"/>
      <c r="G49" s="69"/>
      <c r="H49" s="69"/>
    </row>
    <row r="50" spans="1:8" s="34" customFormat="1" ht="31.5">
      <c r="A50" s="71" t="s">
        <v>116</v>
      </c>
      <c r="B50" s="173" t="s">
        <v>183</v>
      </c>
      <c r="C50" s="253">
        <f>C51+C55+C58</f>
        <v>75500</v>
      </c>
      <c r="D50" s="253">
        <f>D51+D58</f>
        <v>23237.68</v>
      </c>
      <c r="E50" s="253">
        <f>E51+E58</f>
        <v>24837.68</v>
      </c>
      <c r="F50" s="69"/>
      <c r="G50" s="69"/>
      <c r="H50" s="69"/>
    </row>
    <row r="51" spans="1:8" s="34" customFormat="1" ht="81.75" customHeight="1">
      <c r="A51" s="393" t="s">
        <v>187</v>
      </c>
      <c r="B51" s="189" t="s">
        <v>186</v>
      </c>
      <c r="C51" s="254">
        <f t="shared" ref="C51:E53" si="6">C52</f>
        <v>72000</v>
      </c>
      <c r="D51" s="254">
        <f t="shared" si="6"/>
        <v>22237.68</v>
      </c>
      <c r="E51" s="254">
        <f t="shared" si="6"/>
        <v>23837.68</v>
      </c>
      <c r="F51" s="69"/>
      <c r="G51" s="69"/>
      <c r="H51" s="69"/>
    </row>
    <row r="52" spans="1:8" s="34" customFormat="1" ht="94.5">
      <c r="A52" s="393" t="s">
        <v>335</v>
      </c>
      <c r="B52" s="189" t="s">
        <v>336</v>
      </c>
      <c r="C52" s="254">
        <f t="shared" si="6"/>
        <v>72000</v>
      </c>
      <c r="D52" s="254">
        <f t="shared" si="6"/>
        <v>22237.68</v>
      </c>
      <c r="E52" s="254">
        <f t="shared" si="6"/>
        <v>23837.68</v>
      </c>
      <c r="F52" s="69"/>
      <c r="G52" s="69"/>
      <c r="H52" s="69"/>
    </row>
    <row r="53" spans="1:8" s="34" customFormat="1" ht="94.5">
      <c r="A53" s="393" t="s">
        <v>184</v>
      </c>
      <c r="B53" s="189" t="s">
        <v>349</v>
      </c>
      <c r="C53" s="254">
        <f t="shared" si="6"/>
        <v>72000</v>
      </c>
      <c r="D53" s="254">
        <f t="shared" si="6"/>
        <v>22237.68</v>
      </c>
      <c r="E53" s="254">
        <f t="shared" si="6"/>
        <v>23837.68</v>
      </c>
      <c r="F53" s="69"/>
      <c r="G53" s="69"/>
      <c r="H53" s="69"/>
    </row>
    <row r="54" spans="1:8" s="34" customFormat="1" ht="94.5">
      <c r="A54" s="393" t="s">
        <v>113</v>
      </c>
      <c r="B54" s="189" t="s">
        <v>349</v>
      </c>
      <c r="C54" s="254">
        <v>72000</v>
      </c>
      <c r="D54" s="254">
        <v>22237.68</v>
      </c>
      <c r="E54" s="254">
        <v>23837.68</v>
      </c>
      <c r="F54" s="69"/>
      <c r="G54" s="69"/>
      <c r="H54" s="69"/>
    </row>
    <row r="55" spans="1:8" s="34" customFormat="1" ht="15.75">
      <c r="A55" s="393" t="s">
        <v>689</v>
      </c>
      <c r="B55" s="189" t="s">
        <v>690</v>
      </c>
      <c r="C55" s="254">
        <f>C56</f>
        <v>2500</v>
      </c>
      <c r="D55" s="254">
        <f t="shared" ref="D55:E55" si="7">D56</f>
        <v>0</v>
      </c>
      <c r="E55" s="254">
        <f t="shared" si="7"/>
        <v>0</v>
      </c>
      <c r="F55" s="69"/>
      <c r="G55" s="69"/>
      <c r="H55" s="69"/>
    </row>
    <row r="56" spans="1:8" s="34" customFormat="1" ht="31.5">
      <c r="A56" s="393" t="s">
        <v>691</v>
      </c>
      <c r="B56" s="189" t="s">
        <v>688</v>
      </c>
      <c r="C56" s="254">
        <f>C57</f>
        <v>2500</v>
      </c>
      <c r="D56" s="254">
        <f t="shared" ref="D56:E56" si="8">D57</f>
        <v>0</v>
      </c>
      <c r="E56" s="254">
        <f t="shared" si="8"/>
        <v>0</v>
      </c>
      <c r="F56" s="69"/>
      <c r="G56" s="69"/>
      <c r="H56" s="69"/>
    </row>
    <row r="57" spans="1:8" s="34" customFormat="1" ht="31.5">
      <c r="A57" s="393" t="s">
        <v>692</v>
      </c>
      <c r="B57" s="189" t="s">
        <v>688</v>
      </c>
      <c r="C57" s="254">
        <v>2500</v>
      </c>
      <c r="D57" s="254">
        <v>0</v>
      </c>
      <c r="E57" s="254">
        <v>0</v>
      </c>
      <c r="F57" s="69"/>
      <c r="G57" s="69"/>
      <c r="H57" s="69"/>
    </row>
    <row r="58" spans="1:8" s="34" customFormat="1" ht="31.5">
      <c r="A58" s="393" t="s">
        <v>391</v>
      </c>
      <c r="B58" s="189" t="s">
        <v>188</v>
      </c>
      <c r="C58" s="254">
        <f>C60</f>
        <v>1000</v>
      </c>
      <c r="D58" s="254">
        <f>D60</f>
        <v>1000</v>
      </c>
      <c r="E58" s="254">
        <f>E60</f>
        <v>1000</v>
      </c>
      <c r="F58" s="69"/>
      <c r="G58" s="69"/>
      <c r="H58" s="69"/>
    </row>
    <row r="59" spans="1:8" s="34" customFormat="1" ht="47.25">
      <c r="A59" s="393" t="s">
        <v>361</v>
      </c>
      <c r="B59" s="189" t="s">
        <v>362</v>
      </c>
      <c r="C59" s="254">
        <f t="shared" ref="C59:E60" si="9">C60</f>
        <v>1000</v>
      </c>
      <c r="D59" s="254">
        <f t="shared" si="9"/>
        <v>1000</v>
      </c>
      <c r="E59" s="254">
        <f t="shared" si="9"/>
        <v>1000</v>
      </c>
      <c r="F59" s="69"/>
      <c r="G59" s="69"/>
      <c r="H59" s="69"/>
    </row>
    <row r="60" spans="1:8" s="34" customFormat="1" ht="48.75" customHeight="1">
      <c r="A60" s="393" t="s">
        <v>185</v>
      </c>
      <c r="B60" s="189" t="s">
        <v>115</v>
      </c>
      <c r="C60" s="254">
        <f t="shared" si="9"/>
        <v>1000</v>
      </c>
      <c r="D60" s="254">
        <f t="shared" si="9"/>
        <v>1000</v>
      </c>
      <c r="E60" s="254">
        <f t="shared" si="9"/>
        <v>1000</v>
      </c>
      <c r="F60" s="69"/>
      <c r="G60" s="69"/>
      <c r="H60" s="69"/>
    </row>
    <row r="61" spans="1:8" s="34" customFormat="1" ht="49.5" customHeight="1">
      <c r="A61" s="393" t="s">
        <v>114</v>
      </c>
      <c r="B61" s="189" t="s">
        <v>115</v>
      </c>
      <c r="C61" s="254">
        <v>1000</v>
      </c>
      <c r="D61" s="254">
        <v>1000</v>
      </c>
      <c r="E61" s="254">
        <v>1000</v>
      </c>
      <c r="F61" s="69"/>
      <c r="G61" s="69"/>
      <c r="H61" s="69"/>
    </row>
    <row r="62" spans="1:8" s="44" customFormat="1" ht="15.75">
      <c r="A62" s="71" t="s">
        <v>675</v>
      </c>
      <c r="B62" s="173" t="s">
        <v>676</v>
      </c>
      <c r="C62" s="253">
        <f>C63+C66</f>
        <v>222287.47</v>
      </c>
      <c r="D62" s="253">
        <v>0</v>
      </c>
      <c r="E62" s="253">
        <v>0</v>
      </c>
      <c r="F62" s="73"/>
      <c r="G62" s="73"/>
      <c r="H62" s="73"/>
    </row>
    <row r="63" spans="1:8" s="158" customFormat="1" ht="110.25">
      <c r="A63" s="393" t="s">
        <v>710</v>
      </c>
      <c r="B63" s="189" t="s">
        <v>711</v>
      </c>
      <c r="C63" s="254">
        <f>C64</f>
        <v>1641.39</v>
      </c>
      <c r="D63" s="254">
        <f t="shared" ref="D63:E63" si="10">D64</f>
        <v>0</v>
      </c>
      <c r="E63" s="254">
        <f t="shared" si="10"/>
        <v>0</v>
      </c>
      <c r="F63" s="157"/>
      <c r="G63" s="157"/>
      <c r="H63" s="157"/>
    </row>
    <row r="64" spans="1:8" s="158" customFormat="1" ht="78.75">
      <c r="A64" s="393" t="s">
        <v>709</v>
      </c>
      <c r="B64" s="189" t="s">
        <v>708</v>
      </c>
      <c r="C64" s="254">
        <f>C65</f>
        <v>1641.39</v>
      </c>
      <c r="D64" s="254">
        <f t="shared" ref="D64:E64" si="11">D65</f>
        <v>0</v>
      </c>
      <c r="E64" s="254">
        <f t="shared" si="11"/>
        <v>0</v>
      </c>
      <c r="F64" s="157"/>
      <c r="G64" s="157"/>
      <c r="H64" s="157"/>
    </row>
    <row r="65" spans="1:8" s="158" customFormat="1" ht="78.75">
      <c r="A65" s="393" t="s">
        <v>707</v>
      </c>
      <c r="B65" s="189" t="s">
        <v>708</v>
      </c>
      <c r="C65" s="254">
        <v>1641.39</v>
      </c>
      <c r="D65" s="254">
        <v>0</v>
      </c>
      <c r="E65" s="254">
        <v>0</v>
      </c>
      <c r="F65" s="157"/>
      <c r="G65" s="157"/>
      <c r="H65" s="157"/>
    </row>
    <row r="66" spans="1:8" s="34" customFormat="1" ht="63">
      <c r="A66" s="393" t="s">
        <v>678</v>
      </c>
      <c r="B66" s="189" t="s">
        <v>677</v>
      </c>
      <c r="C66" s="254">
        <f>C67</f>
        <v>220646.08</v>
      </c>
      <c r="D66" s="254">
        <v>0</v>
      </c>
      <c r="E66" s="254">
        <v>0</v>
      </c>
      <c r="F66" s="69"/>
      <c r="G66" s="69"/>
      <c r="H66" s="69"/>
    </row>
    <row r="67" spans="1:8" s="34" customFormat="1" ht="47.25">
      <c r="A67" s="393" t="s">
        <v>679</v>
      </c>
      <c r="B67" s="189" t="s">
        <v>681</v>
      </c>
      <c r="C67" s="254">
        <f>C68</f>
        <v>220646.08</v>
      </c>
      <c r="D67" s="254">
        <v>0</v>
      </c>
      <c r="E67" s="254">
        <v>0</v>
      </c>
      <c r="F67" s="69"/>
      <c r="G67" s="69"/>
      <c r="H67" s="69"/>
    </row>
    <row r="68" spans="1:8" s="34" customFormat="1" ht="47.25">
      <c r="A68" s="393" t="s">
        <v>680</v>
      </c>
      <c r="B68" s="189" t="s">
        <v>681</v>
      </c>
      <c r="C68" s="254">
        <v>220646.08</v>
      </c>
      <c r="D68" s="254">
        <v>0</v>
      </c>
      <c r="E68" s="254">
        <v>0</v>
      </c>
      <c r="F68" s="69"/>
      <c r="G68" s="69"/>
      <c r="H68" s="69"/>
    </row>
    <row r="69" spans="1:8" s="44" customFormat="1" ht="15.75">
      <c r="A69" s="71" t="s">
        <v>243</v>
      </c>
      <c r="B69" s="173" t="s">
        <v>247</v>
      </c>
      <c r="C69" s="253">
        <f>C70</f>
        <v>1000</v>
      </c>
      <c r="D69" s="253">
        <v>0</v>
      </c>
      <c r="E69" s="253">
        <v>0</v>
      </c>
      <c r="F69" s="73"/>
      <c r="G69" s="73"/>
      <c r="H69" s="73"/>
    </row>
    <row r="70" spans="1:8" s="34" customFormat="1" ht="15.75">
      <c r="A70" s="393" t="s">
        <v>245</v>
      </c>
      <c r="B70" s="189" t="s">
        <v>244</v>
      </c>
      <c r="C70" s="254">
        <f>C71</f>
        <v>1000</v>
      </c>
      <c r="D70" s="254">
        <v>0</v>
      </c>
      <c r="E70" s="254">
        <v>0</v>
      </c>
      <c r="F70" s="69"/>
      <c r="G70" s="69"/>
      <c r="H70" s="69"/>
    </row>
    <row r="71" spans="1:8" s="34" customFormat="1" ht="15.75">
      <c r="A71" s="393" t="s">
        <v>246</v>
      </c>
      <c r="B71" s="189" t="s">
        <v>31</v>
      </c>
      <c r="C71" s="254">
        <f>C72</f>
        <v>1000</v>
      </c>
      <c r="D71" s="254">
        <v>0</v>
      </c>
      <c r="E71" s="254">
        <v>0</v>
      </c>
      <c r="F71" s="69"/>
      <c r="G71" s="69"/>
      <c r="H71" s="69"/>
    </row>
    <row r="72" spans="1:8" s="34" customFormat="1" ht="15.75">
      <c r="A72" s="393" t="s">
        <v>121</v>
      </c>
      <c r="B72" s="189" t="s">
        <v>31</v>
      </c>
      <c r="C72" s="254">
        <v>1000</v>
      </c>
      <c r="D72" s="254">
        <v>0</v>
      </c>
      <c r="E72" s="254">
        <v>0</v>
      </c>
      <c r="F72" s="69"/>
      <c r="G72" s="69"/>
      <c r="H72" s="69"/>
    </row>
    <row r="73" spans="1:8" s="34" customFormat="1" ht="15.75">
      <c r="A73" s="71" t="s">
        <v>19</v>
      </c>
      <c r="B73" s="173" t="s">
        <v>20</v>
      </c>
      <c r="C73" s="253">
        <f>C76+C82+C90+C94+C98+C80</f>
        <v>20534828.419999998</v>
      </c>
      <c r="D73" s="253">
        <f>D75+D82+D90+D94+D98</f>
        <v>10481417.6</v>
      </c>
      <c r="E73" s="253">
        <f>E75+E82+E90+E94+E98</f>
        <v>4286717.5999999996</v>
      </c>
      <c r="F73" s="69"/>
      <c r="G73" s="69"/>
      <c r="H73" s="69"/>
    </row>
    <row r="74" spans="1:8" s="34" customFormat="1" ht="47.25">
      <c r="A74" s="71" t="s">
        <v>190</v>
      </c>
      <c r="B74" s="173" t="s">
        <v>189</v>
      </c>
      <c r="C74" s="253">
        <f>C75+C82+C90+C94</f>
        <v>20483640.919999998</v>
      </c>
      <c r="D74" s="253">
        <f>D75+D82+D90+D94</f>
        <v>10480417.6</v>
      </c>
      <c r="E74" s="253">
        <f>E75+E82+E90+E94</f>
        <v>4285717.5999999996</v>
      </c>
      <c r="F74" s="69"/>
      <c r="G74" s="118"/>
      <c r="H74" s="118"/>
    </row>
    <row r="75" spans="1:8" s="34" customFormat="1" ht="31.5">
      <c r="A75" s="71" t="s">
        <v>392</v>
      </c>
      <c r="B75" s="173" t="s">
        <v>191</v>
      </c>
      <c r="C75" s="253">
        <f>C76+C80</f>
        <v>7186269.8799999999</v>
      </c>
      <c r="D75" s="253">
        <f>D76+D80</f>
        <v>6203100</v>
      </c>
      <c r="E75" s="253">
        <f>E76+E80</f>
        <v>0</v>
      </c>
      <c r="F75" s="69"/>
      <c r="G75" s="76"/>
      <c r="H75" s="76"/>
    </row>
    <row r="76" spans="1:8" s="34" customFormat="1" ht="15.75">
      <c r="A76" s="393" t="s">
        <v>393</v>
      </c>
      <c r="B76" s="189" t="s">
        <v>192</v>
      </c>
      <c r="C76" s="254">
        <f t="shared" ref="C76:E77" si="12">C77</f>
        <v>6690300</v>
      </c>
      <c r="D76" s="254">
        <f t="shared" si="12"/>
        <v>6203100</v>
      </c>
      <c r="E76" s="254">
        <f t="shared" si="12"/>
        <v>0</v>
      </c>
      <c r="F76" s="69"/>
      <c r="G76" s="69"/>
      <c r="H76" s="69"/>
    </row>
    <row r="77" spans="1:8" s="34" customFormat="1" ht="31.5">
      <c r="A77" s="393" t="s">
        <v>394</v>
      </c>
      <c r="B77" s="189" t="s">
        <v>21</v>
      </c>
      <c r="C77" s="254">
        <f t="shared" si="12"/>
        <v>6690300</v>
      </c>
      <c r="D77" s="254">
        <f t="shared" si="12"/>
        <v>6203100</v>
      </c>
      <c r="E77" s="254">
        <f t="shared" si="12"/>
        <v>0</v>
      </c>
      <c r="F77" s="69"/>
      <c r="G77" s="69"/>
      <c r="H77" s="69"/>
    </row>
    <row r="78" spans="1:8" s="34" customFormat="1" ht="31.5">
      <c r="A78" s="393" t="s">
        <v>395</v>
      </c>
      <c r="B78" s="189" t="s">
        <v>21</v>
      </c>
      <c r="C78" s="254">
        <f>безвозм.пост.!C3</f>
        <v>6690300</v>
      </c>
      <c r="D78" s="254">
        <f>безвозм.пост.!D3</f>
        <v>6203100</v>
      </c>
      <c r="E78" s="254">
        <f>безвозм.пост.!E3</f>
        <v>0</v>
      </c>
      <c r="F78" s="69"/>
      <c r="G78" s="69"/>
      <c r="H78" s="69"/>
    </row>
    <row r="79" spans="1:8" s="34" customFormat="1" ht="31.5">
      <c r="A79" s="393" t="s">
        <v>396</v>
      </c>
      <c r="B79" s="189" t="s">
        <v>242</v>
      </c>
      <c r="C79" s="254">
        <f t="shared" ref="C79:E80" si="13">C80</f>
        <v>495969.88</v>
      </c>
      <c r="D79" s="254">
        <f t="shared" si="13"/>
        <v>0</v>
      </c>
      <c r="E79" s="254">
        <f t="shared" si="13"/>
        <v>0</v>
      </c>
      <c r="F79" s="69"/>
      <c r="G79" s="69"/>
      <c r="H79" s="69"/>
    </row>
    <row r="80" spans="1:8" s="34" customFormat="1" ht="31.5">
      <c r="A80" s="393" t="s">
        <v>397</v>
      </c>
      <c r="B80" s="189" t="s">
        <v>108</v>
      </c>
      <c r="C80" s="254">
        <f t="shared" si="13"/>
        <v>495969.88</v>
      </c>
      <c r="D80" s="254">
        <f t="shared" si="13"/>
        <v>0</v>
      </c>
      <c r="E80" s="254">
        <f t="shared" si="13"/>
        <v>0</v>
      </c>
      <c r="F80" s="69"/>
      <c r="G80" s="69"/>
      <c r="H80" s="69"/>
    </row>
    <row r="81" spans="1:8" s="34" customFormat="1" ht="31.5">
      <c r="A81" s="474" t="s">
        <v>398</v>
      </c>
      <c r="B81" s="189" t="s">
        <v>108</v>
      </c>
      <c r="C81" s="254">
        <f>безвозм.пост.!C4</f>
        <v>495969.88</v>
      </c>
      <c r="D81" s="254">
        <f>безвозм.пост.!D4</f>
        <v>0</v>
      </c>
      <c r="E81" s="254">
        <f>безвозм.пост.!E4</f>
        <v>0</v>
      </c>
      <c r="F81" s="69"/>
      <c r="G81" s="69"/>
      <c r="H81" s="69"/>
    </row>
    <row r="82" spans="1:8" s="361" customFormat="1" ht="31.5">
      <c r="A82" s="386" t="s">
        <v>399</v>
      </c>
      <c r="B82" s="173" t="s">
        <v>194</v>
      </c>
      <c r="C82" s="253">
        <f>C83+C86</f>
        <v>1651882</v>
      </c>
      <c r="D82" s="253">
        <f t="shared" ref="D82:E84" si="14">D83</f>
        <v>0</v>
      </c>
      <c r="E82" s="253">
        <f t="shared" si="14"/>
        <v>0</v>
      </c>
      <c r="F82" s="360"/>
      <c r="G82" s="360"/>
      <c r="H82" s="360"/>
    </row>
    <row r="83" spans="1:8" s="34" customFormat="1" ht="15.75">
      <c r="A83" s="390" t="s">
        <v>400</v>
      </c>
      <c r="B83" s="189" t="s">
        <v>193</v>
      </c>
      <c r="C83" s="254">
        <f>C84</f>
        <v>1651882</v>
      </c>
      <c r="D83" s="254">
        <f t="shared" si="14"/>
        <v>0</v>
      </c>
      <c r="E83" s="254">
        <f t="shared" si="14"/>
        <v>0</v>
      </c>
      <c r="F83" s="69"/>
      <c r="G83" s="69"/>
      <c r="H83" s="69"/>
    </row>
    <row r="84" spans="1:8" s="34" customFormat="1" ht="15.75">
      <c r="A84" s="390" t="s">
        <v>401</v>
      </c>
      <c r="B84" s="475" t="s">
        <v>23</v>
      </c>
      <c r="C84" s="254">
        <f>C85</f>
        <v>1651882</v>
      </c>
      <c r="D84" s="254">
        <f t="shared" si="14"/>
        <v>0</v>
      </c>
      <c r="E84" s="254">
        <f t="shared" si="14"/>
        <v>0</v>
      </c>
      <c r="F84" s="69"/>
      <c r="G84" s="69"/>
      <c r="H84" s="69"/>
    </row>
    <row r="85" spans="1:8" s="34" customFormat="1" ht="15.75">
      <c r="A85" s="390" t="s">
        <v>402</v>
      </c>
      <c r="B85" s="475" t="s">
        <v>23</v>
      </c>
      <c r="C85" s="254">
        <f>безвозм.пост.!C9+безвозм.пост.!C20+безвозм.пост.!C16</f>
        <v>1651882</v>
      </c>
      <c r="D85" s="254">
        <f>безвозм.пост.!D9</f>
        <v>0</v>
      </c>
      <c r="E85" s="254">
        <f>безвозм.пост.!E9</f>
        <v>0</v>
      </c>
      <c r="F85" s="69"/>
      <c r="G85" s="69"/>
      <c r="H85" s="69"/>
    </row>
    <row r="86" spans="1:8" s="34" customFormat="1" ht="31.5">
      <c r="A86" s="390" t="s">
        <v>629</v>
      </c>
      <c r="B86" s="189" t="s">
        <v>630</v>
      </c>
      <c r="C86" s="254">
        <f t="shared" ref="C86:E87" si="15">C87</f>
        <v>0</v>
      </c>
      <c r="D86" s="254">
        <f t="shared" si="15"/>
        <v>0</v>
      </c>
      <c r="E86" s="254">
        <f t="shared" si="15"/>
        <v>0</v>
      </c>
      <c r="F86" s="69"/>
      <c r="G86" s="69"/>
      <c r="H86" s="69"/>
    </row>
    <row r="87" spans="1:8" s="34" customFormat="1" ht="31.5">
      <c r="A87" s="522" t="s">
        <v>628</v>
      </c>
      <c r="B87" s="475" t="s">
        <v>626</v>
      </c>
      <c r="C87" s="254">
        <f t="shared" si="15"/>
        <v>0</v>
      </c>
      <c r="D87" s="254">
        <f t="shared" si="15"/>
        <v>0</v>
      </c>
      <c r="E87" s="254">
        <f t="shared" si="15"/>
        <v>0</v>
      </c>
      <c r="F87" s="69"/>
      <c r="G87" s="69"/>
      <c r="H87" s="69"/>
    </row>
    <row r="88" spans="1:8" s="34" customFormat="1" ht="31.5">
      <c r="A88" s="522" t="s">
        <v>627</v>
      </c>
      <c r="B88" s="475" t="s">
        <v>626</v>
      </c>
      <c r="C88" s="254">
        <f>безвозм.пост.!C14</f>
        <v>0</v>
      </c>
      <c r="D88" s="254">
        <f>безвозм.пост.!D12</f>
        <v>0</v>
      </c>
      <c r="E88" s="254">
        <f>безвозм.пост.!E12</f>
        <v>0</v>
      </c>
      <c r="F88" s="69"/>
      <c r="G88" s="69"/>
      <c r="H88" s="69"/>
    </row>
    <row r="89" spans="1:8" s="34" customFormat="1" ht="15.75">
      <c r="A89" s="390"/>
      <c r="B89" s="475"/>
      <c r="C89" s="254"/>
      <c r="D89" s="254"/>
      <c r="E89" s="254"/>
      <c r="F89" s="69"/>
      <c r="G89" s="69"/>
      <c r="H89" s="69"/>
    </row>
    <row r="90" spans="1:8" s="44" customFormat="1" ht="31.5">
      <c r="A90" s="476" t="s">
        <v>403</v>
      </c>
      <c r="B90" s="477" t="s">
        <v>195</v>
      </c>
      <c r="C90" s="253">
        <f t="shared" ref="C90:E92" si="16">C91</f>
        <v>252675</v>
      </c>
      <c r="D90" s="253">
        <f t="shared" si="16"/>
        <v>246500</v>
      </c>
      <c r="E90" s="253">
        <f t="shared" si="16"/>
        <v>254900</v>
      </c>
      <c r="F90" s="73"/>
      <c r="G90" s="73"/>
      <c r="H90" s="73"/>
    </row>
    <row r="91" spans="1:8" s="34" customFormat="1" ht="47.25">
      <c r="A91" s="478" t="s">
        <v>404</v>
      </c>
      <c r="B91" s="475" t="s">
        <v>196</v>
      </c>
      <c r="C91" s="254">
        <f t="shared" si="16"/>
        <v>252675</v>
      </c>
      <c r="D91" s="254">
        <f t="shared" si="16"/>
        <v>246500</v>
      </c>
      <c r="E91" s="254">
        <f t="shared" si="16"/>
        <v>254900</v>
      </c>
      <c r="F91" s="69"/>
      <c r="G91" s="69"/>
      <c r="H91" s="69"/>
    </row>
    <row r="92" spans="1:8" s="34" customFormat="1" ht="47.25">
      <c r="A92" s="478" t="s">
        <v>405</v>
      </c>
      <c r="B92" s="189" t="s">
        <v>22</v>
      </c>
      <c r="C92" s="254">
        <f t="shared" si="16"/>
        <v>252675</v>
      </c>
      <c r="D92" s="254">
        <f t="shared" si="16"/>
        <v>246500</v>
      </c>
      <c r="E92" s="254">
        <f t="shared" si="16"/>
        <v>254900</v>
      </c>
      <c r="F92" s="69"/>
      <c r="G92" s="69"/>
      <c r="H92" s="69"/>
    </row>
    <row r="93" spans="1:8" s="34" customFormat="1" ht="47.25">
      <c r="A93" s="478" t="s">
        <v>406</v>
      </c>
      <c r="B93" s="189" t="s">
        <v>22</v>
      </c>
      <c r="C93" s="254">
        <f>безвозм.пост.!C5</f>
        <v>252675</v>
      </c>
      <c r="D93" s="254">
        <f>безвозм.пост.!D5</f>
        <v>246500</v>
      </c>
      <c r="E93" s="254">
        <f>безвозм.пост.!E5</f>
        <v>254900</v>
      </c>
      <c r="F93" s="69"/>
      <c r="G93" s="69"/>
      <c r="H93" s="69"/>
    </row>
    <row r="94" spans="1:8" s="389" customFormat="1" ht="15.75">
      <c r="A94" s="386" t="s">
        <v>411</v>
      </c>
      <c r="B94" s="387" t="s">
        <v>197</v>
      </c>
      <c r="C94" s="253">
        <f t="shared" ref="C94:E96" si="17">C95</f>
        <v>11392814.039999999</v>
      </c>
      <c r="D94" s="253">
        <f t="shared" si="17"/>
        <v>4030817.6</v>
      </c>
      <c r="E94" s="253">
        <f t="shared" si="17"/>
        <v>4030817.6</v>
      </c>
      <c r="F94" s="388"/>
      <c r="G94" s="388"/>
      <c r="H94" s="388"/>
    </row>
    <row r="95" spans="1:8" s="392" customFormat="1" ht="63">
      <c r="A95" s="390" t="s">
        <v>410</v>
      </c>
      <c r="B95" s="189" t="s">
        <v>198</v>
      </c>
      <c r="C95" s="254">
        <f t="shared" si="17"/>
        <v>11392814.039999999</v>
      </c>
      <c r="D95" s="254">
        <f t="shared" si="17"/>
        <v>4030817.6</v>
      </c>
      <c r="E95" s="254">
        <f t="shared" si="17"/>
        <v>4030817.6</v>
      </c>
      <c r="F95" s="391"/>
      <c r="G95" s="391"/>
      <c r="H95" s="391"/>
    </row>
    <row r="96" spans="1:8" s="392" customFormat="1" ht="78.75">
      <c r="A96" s="393" t="s">
        <v>409</v>
      </c>
      <c r="B96" s="189" t="s">
        <v>24</v>
      </c>
      <c r="C96" s="254">
        <f t="shared" si="17"/>
        <v>11392814.039999999</v>
      </c>
      <c r="D96" s="254">
        <f t="shared" si="17"/>
        <v>4030817.6</v>
      </c>
      <c r="E96" s="254">
        <f t="shared" si="17"/>
        <v>4030817.6</v>
      </c>
      <c r="F96" s="391"/>
      <c r="G96" s="391"/>
      <c r="H96" s="391"/>
    </row>
    <row r="97" spans="1:8" s="392" customFormat="1" ht="78.75">
      <c r="A97" s="393" t="s">
        <v>408</v>
      </c>
      <c r="B97" s="189" t="s">
        <v>24</v>
      </c>
      <c r="C97" s="254">
        <f>безвозм.пост.!C22</f>
        <v>11392814.039999999</v>
      </c>
      <c r="D97" s="254">
        <f>безвозм.пост.!D22</f>
        <v>4030817.6</v>
      </c>
      <c r="E97" s="254">
        <f>безвозм.пост.!E22</f>
        <v>4030817.6</v>
      </c>
      <c r="F97" s="391"/>
      <c r="G97" s="391"/>
      <c r="H97" s="391"/>
    </row>
    <row r="98" spans="1:8" s="44" customFormat="1" ht="31.5">
      <c r="A98" s="479" t="s">
        <v>248</v>
      </c>
      <c r="B98" s="173" t="s">
        <v>412</v>
      </c>
      <c r="C98" s="253">
        <f>C99</f>
        <v>51187.5</v>
      </c>
      <c r="D98" s="253">
        <f t="shared" ref="D98:E100" si="18">D99</f>
        <v>1000</v>
      </c>
      <c r="E98" s="253">
        <f t="shared" si="18"/>
        <v>1000</v>
      </c>
      <c r="F98" s="73"/>
      <c r="G98" s="73"/>
      <c r="H98" s="73"/>
    </row>
    <row r="99" spans="1:8" s="34" customFormat="1" ht="31.5">
      <c r="A99" s="480" t="s">
        <v>413</v>
      </c>
      <c r="B99" s="481" t="s">
        <v>249</v>
      </c>
      <c r="C99" s="254">
        <f>C100</f>
        <v>51187.5</v>
      </c>
      <c r="D99" s="254">
        <f t="shared" si="18"/>
        <v>1000</v>
      </c>
      <c r="E99" s="254">
        <f t="shared" si="18"/>
        <v>1000</v>
      </c>
      <c r="F99" s="69"/>
      <c r="G99" s="69"/>
      <c r="H99" s="69"/>
    </row>
    <row r="100" spans="1:8" s="34" customFormat="1" ht="47.25">
      <c r="A100" s="480" t="s">
        <v>414</v>
      </c>
      <c r="B100" s="481" t="s">
        <v>225</v>
      </c>
      <c r="C100" s="254">
        <f>C101</f>
        <v>51187.5</v>
      </c>
      <c r="D100" s="254">
        <f t="shared" si="18"/>
        <v>1000</v>
      </c>
      <c r="E100" s="254">
        <f t="shared" si="18"/>
        <v>1000</v>
      </c>
      <c r="F100" s="69"/>
      <c r="G100" s="69"/>
      <c r="H100" s="69"/>
    </row>
    <row r="101" spans="1:8" s="34" customFormat="1" ht="47.25">
      <c r="A101" s="480" t="s">
        <v>415</v>
      </c>
      <c r="B101" s="481" t="s">
        <v>225</v>
      </c>
      <c r="C101" s="254">
        <v>51187.5</v>
      </c>
      <c r="D101" s="254">
        <v>1000</v>
      </c>
      <c r="E101" s="254">
        <v>1000</v>
      </c>
      <c r="F101" s="69"/>
      <c r="G101" s="69"/>
      <c r="H101" s="69"/>
    </row>
    <row r="102" spans="1:8" s="34" customFormat="1" ht="15.75">
      <c r="A102" s="71" t="s">
        <v>25</v>
      </c>
      <c r="B102" s="482"/>
      <c r="C102" s="483">
        <f>C12+C73</f>
        <v>28984760.609999999</v>
      </c>
      <c r="D102" s="483">
        <f>D12+D73</f>
        <v>18235000</v>
      </c>
      <c r="E102" s="483">
        <f>E12+E73</f>
        <v>12186900</v>
      </c>
      <c r="F102" s="69"/>
      <c r="G102" s="69"/>
      <c r="H102" s="75"/>
    </row>
    <row r="103" spans="1:8" s="34" customFormat="1">
      <c r="A103" s="391"/>
      <c r="B103" s="469"/>
      <c r="C103" s="484"/>
      <c r="D103" s="391"/>
      <c r="E103" s="391"/>
      <c r="F103" s="69"/>
      <c r="G103" s="69"/>
      <c r="H103" s="69"/>
    </row>
    <row r="104" spans="1:8" s="34" customFormat="1">
      <c r="A104" s="391"/>
      <c r="B104" s="469"/>
      <c r="C104" s="485"/>
      <c r="D104" s="485"/>
      <c r="E104" s="485"/>
      <c r="F104" s="69"/>
      <c r="G104" s="69"/>
      <c r="H104" s="69"/>
    </row>
    <row r="105" spans="1:8" s="34" customFormat="1">
      <c r="A105" s="391"/>
      <c r="B105" s="469"/>
      <c r="C105" s="486"/>
      <c r="D105" s="486"/>
      <c r="E105" s="486"/>
      <c r="F105" s="69"/>
      <c r="G105" s="69"/>
      <c r="H105" s="69"/>
    </row>
    <row r="106" spans="1:8">
      <c r="C106" s="383"/>
      <c r="D106" s="383"/>
    </row>
    <row r="108" spans="1:8">
      <c r="C108" s="487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1" sqref="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639" t="s">
        <v>218</v>
      </c>
      <c r="C1" s="639"/>
      <c r="D1" s="639"/>
    </row>
    <row r="2" spans="1:4" ht="15.75">
      <c r="B2" s="640" t="s">
        <v>33</v>
      </c>
      <c r="C2" s="640"/>
      <c r="D2" s="640"/>
    </row>
    <row r="3" spans="1:4" ht="15.75">
      <c r="B3" s="640" t="s">
        <v>122</v>
      </c>
      <c r="C3" s="640"/>
      <c r="D3" s="640"/>
    </row>
    <row r="4" spans="1:4" ht="15.75">
      <c r="B4" s="640" t="s">
        <v>27</v>
      </c>
      <c r="C4" s="640"/>
      <c r="D4" s="640"/>
    </row>
    <row r="5" spans="1:4" ht="15.75">
      <c r="B5" s="640" t="s">
        <v>28</v>
      </c>
      <c r="C5" s="640"/>
      <c r="D5" s="640"/>
    </row>
    <row r="6" spans="1:4" ht="15.75" customHeight="1">
      <c r="B6" s="631" t="s">
        <v>620</v>
      </c>
      <c r="C6" s="631"/>
      <c r="D6" s="631"/>
    </row>
    <row r="7" spans="1:4" ht="15.75">
      <c r="A7" s="60"/>
      <c r="B7" s="641"/>
      <c r="C7" s="641"/>
      <c r="D7" s="641"/>
    </row>
    <row r="8" spans="1:4" ht="37.5" customHeight="1">
      <c r="A8" s="637" t="s">
        <v>587</v>
      </c>
      <c r="B8" s="637"/>
      <c r="C8" s="638"/>
      <c r="D8" s="638"/>
    </row>
    <row r="9" spans="1:4" ht="41.25" customHeight="1">
      <c r="A9" s="60"/>
      <c r="B9" s="60"/>
      <c r="C9" s="60"/>
      <c r="D9" s="60"/>
    </row>
    <row r="10" spans="1:4" ht="15.75">
      <c r="A10" s="36" t="s">
        <v>34</v>
      </c>
      <c r="B10" s="634" t="s">
        <v>42</v>
      </c>
      <c r="C10" s="635"/>
      <c r="D10" s="636"/>
    </row>
    <row r="11" spans="1:4" ht="15.75">
      <c r="A11" s="61">
        <v>1</v>
      </c>
      <c r="B11" s="61" t="s">
        <v>382</v>
      </c>
      <c r="C11" s="61" t="s">
        <v>471</v>
      </c>
      <c r="D11" s="61" t="s">
        <v>584</v>
      </c>
    </row>
    <row r="12" spans="1:4" ht="31.5">
      <c r="A12" s="62" t="str">
        <f>'Пр. 2'!B78</f>
        <v>Дотации бюджетам сельских поселений на выравнивание бюджетной обеспеченности</v>
      </c>
      <c r="B12" s="53">
        <f>'Пр. 2'!C78</f>
        <v>6690300</v>
      </c>
      <c r="C12" s="53">
        <f>'Пр. 2'!D78</f>
        <v>6203100</v>
      </c>
      <c r="D12" s="53">
        <f>'Пр. 2'!E78</f>
        <v>0</v>
      </c>
    </row>
    <row r="13" spans="1:4" ht="36.75" customHeight="1">
      <c r="A13" s="62" t="s">
        <v>108</v>
      </c>
      <c r="B13" s="53">
        <f>'Пр. 2'!C81</f>
        <v>495969.88</v>
      </c>
      <c r="C13" s="53">
        <f>'Пр. 2'!D81</f>
        <v>0</v>
      </c>
      <c r="D13" s="53">
        <f>'Пр. 2'!E81</f>
        <v>0</v>
      </c>
    </row>
    <row r="14" spans="1:4" ht="15.75">
      <c r="A14" s="59" t="s">
        <v>23</v>
      </c>
      <c r="B14" s="53">
        <f>безвозм.пост.!C9</f>
        <v>929382</v>
      </c>
      <c r="C14" s="53">
        <f>'Пр. 2'!D85</f>
        <v>0</v>
      </c>
      <c r="D14" s="53">
        <f>'Пр. 2'!E85</f>
        <v>0</v>
      </c>
    </row>
    <row r="15" spans="1:4" ht="54" customHeight="1">
      <c r="A15" s="49" t="s">
        <v>22</v>
      </c>
      <c r="B15" s="53">
        <f>'Пр. 2'!C93</f>
        <v>252675</v>
      </c>
      <c r="C15" s="53">
        <f>'Пр. 2'!D93</f>
        <v>246500</v>
      </c>
      <c r="D15" s="53">
        <f>'Пр. 2'!E93</f>
        <v>254900</v>
      </c>
    </row>
    <row r="16" spans="1:4" ht="15.75">
      <c r="A16" s="38" t="s">
        <v>35</v>
      </c>
      <c r="B16" s="63">
        <f>SUM(B12:B15)</f>
        <v>8368326.8799999999</v>
      </c>
      <c r="C16" s="63">
        <f>SUM(C12:C15)</f>
        <v>6449600</v>
      </c>
      <c r="D16" s="63">
        <f>SUM(D12:D15)</f>
        <v>254900</v>
      </c>
    </row>
    <row r="18" spans="2:4">
      <c r="B18" s="29"/>
      <c r="C18" s="29"/>
      <c r="D18" s="29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7</vt:i4>
      </vt:variant>
    </vt:vector>
  </HeadingPairs>
  <TitlesOfParts>
    <vt:vector size="27" baseType="lpstr">
      <vt:lpstr>для главы</vt:lpstr>
      <vt:lpstr>табл.к пояс.з.</vt:lpstr>
      <vt:lpstr>безвозм.пост.</vt:lpstr>
      <vt:lpstr>пер.ост.</vt:lpstr>
      <vt:lpstr>план работы</vt:lpstr>
      <vt:lpstr>для программы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'для программы'!Область_печати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2022-11-16T05:20:21Z</cp:lastPrinted>
  <dcterms:created xsi:type="dcterms:W3CDTF">2016-06-27T10:52:24Z</dcterms:created>
  <dcterms:modified xsi:type="dcterms:W3CDTF">2022-11-16T06:10:04Z</dcterms:modified>
</cp:coreProperties>
</file>